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intranet-fs1\子ども未来局\243給付係\02：給付費（利用者負担額）\02：給付費・委託費\00：市内\2025（R7）\50-試算様式\"/>
    </mc:Choice>
  </mc:AlternateContent>
  <xr:revisionPtr revIDLastSave="0" documentId="13_ncr:1_{F8C35594-7808-4921-AC92-C928B3E8C71F}" xr6:coauthVersionLast="47" xr6:coauthVersionMax="47" xr10:uidLastSave="{00000000-0000-0000-0000-000000000000}"/>
  <workbookProtection workbookAlgorithmName="SHA-512" workbookHashValue="Gub/e4C6OCp1H2HbJ9wRg7+fCmRWOd/xegrvV/hJ1iTeo4UsFBP6S5KKvI9bdck97P72tYCrB37jGFK86DQOOw==" workbookSaltValue="pTKDBSFhbdKQRAIfqzDZig==" workbookSpinCount="100000" lockStructure="1"/>
  <bookViews>
    <workbookView xWindow="-28920" yWindow="-120" windowWidth="29040" windowHeight="15720" tabRatio="657" firstSheet="2" activeTab="2" xr2:uid="{00000000-000D-0000-FFFF-FFFF00000000}"/>
  </bookViews>
  <sheets>
    <sheet name="施設状況(要更新)" sheetId="30" state="hidden" r:id="rId1"/>
    <sheet name="休日情報(要更新)" sheetId="32" state="hidden" r:id="rId2"/>
    <sheet name="作成方法" sheetId="41" r:id="rId3"/>
    <sheet name="【別添】添付書類の表紙" sheetId="40" state="hidden" r:id="rId4"/>
    <sheet name="【様式１】総括表・個票" sheetId="23" r:id="rId5"/>
    <sheet name="(別紙１)副園長配置" sheetId="24" r:id="rId6"/>
    <sheet name="(別紙４)通園" sheetId="37" r:id="rId7"/>
    <sheet name="(別紙5)給食・副食" sheetId="35" r:id="rId8"/>
    <sheet name="(別紙6)定員超過" sheetId="38" r:id="rId9"/>
    <sheet name="(別紙7)主幹教諭" sheetId="39" r:id="rId10"/>
    <sheet name="【様式2】職員名簿" sheetId="16" r:id="rId11"/>
    <sheet name="【様式３】シフト表" sheetId="31" r:id="rId12"/>
    <sheet name="【様式４】クラス編成表" sheetId="19" r:id="rId13"/>
    <sheet name="【様式５】職員数算出表" sheetId="22" r:id="rId14"/>
    <sheet name="【様式６】加算確認表" sheetId="27" r:id="rId15"/>
    <sheet name="ver" sheetId="29" state="hidden" r:id="rId16"/>
  </sheets>
  <externalReferences>
    <externalReference r:id="rId17"/>
    <externalReference r:id="rId18"/>
  </externalReferences>
  <definedNames>
    <definedName name="_xlnm._FilterDatabase" localSheetId="4" hidden="1">【様式１】総括表・個票!$A$3:$AG$54</definedName>
    <definedName name="a">#REF!</definedName>
    <definedName name="b">#REF!</definedName>
    <definedName name="d">#REF!</definedName>
    <definedName name="_xlnm.Print_Area" localSheetId="5">'(別紙１)副園長配置'!$A$1:$I$106</definedName>
    <definedName name="_xlnm.Print_Area" localSheetId="6">'(別紙４)通園'!$A$1:$H$26</definedName>
    <definedName name="_xlnm.Print_Area" localSheetId="7">'(別紙5)給食・副食'!$B$1:$AJ$68</definedName>
    <definedName name="_xlnm.Print_Area" localSheetId="8">'(別紙6)定員超過'!$A$1:$P$83</definedName>
    <definedName name="_xlnm.Print_Area" localSheetId="9">'(別紙7)主幹教諭'!$A$1:$L$37</definedName>
    <definedName name="_xlnm.Print_Area" localSheetId="3">【別添】添付書類の表紙!$A$1:$C$53</definedName>
    <definedName name="_xlnm.Print_Area" localSheetId="4">【様式１】総括表・個票!$A$1:$AG$330</definedName>
    <definedName name="_xlnm.Print_Area" localSheetId="10">【様式2】職員名簿!$A$1:$J$139</definedName>
    <definedName name="_xlnm.Print_Area" localSheetId="11">【様式３】シフト表!$B$1:$AK$107</definedName>
    <definedName name="_xlnm.Print_Area" localSheetId="12">【様式４】クラス編成表!$A$1:$F$32</definedName>
    <definedName name="_xlnm.Print_Area" localSheetId="13">【様式５】職員数算出表!$A$1:$O$107</definedName>
    <definedName name="_xlnm.Print_Area" localSheetId="14">【様式６】加算確認表!$A$1:$AB$27</definedName>
    <definedName name="_xlnm.Print_Area" localSheetId="2">作成方法!$A$1:$E$42</definedName>
    <definedName name="_xlnm.Print_Titles" localSheetId="5">'(別紙１)副園長配置'!$1:$2</definedName>
    <definedName name="_xlnm.Print_Titles" localSheetId="6">'(別紙４)通園'!$1:$6</definedName>
    <definedName name="_xlnm.Print_Titles" localSheetId="7">'(別紙5)給食・副食'!$1:$3</definedName>
    <definedName name="_xlnm.Print_Titles" localSheetId="4">【様式１】総括表・個票!$1:$1</definedName>
    <definedName name="_xlnm.Print_Titles" localSheetId="10">【様式2】職員名簿!$1:$2</definedName>
    <definedName name="_xlnm.Print_Titles" localSheetId="11">【様式３】シフト表!$1:$6</definedName>
    <definedName name="_xlnm.Print_Titles" localSheetId="12">【様式４】クラス編成表!$1:$5</definedName>
    <definedName name="_xlnm.Print_Titles" localSheetId="13">【様式５】職員数算出表!$1:$3</definedName>
    <definedName name="Z_231BE199_DDAC_4D61_831C_4C9016DB75EA_.wvu.PrintArea" localSheetId="4" hidden="1">【様式１】総括表・個票!$A$1:$AG$311</definedName>
    <definedName name="栄養士" localSheetId="3">#REF!</definedName>
    <definedName name="栄養士">【様式５】職員数算出表!$BD$7:$BD$107</definedName>
    <definedName name="栄養士等">【様式５】職員数算出表!$BD$7:$BD$107</definedName>
    <definedName name="家庭的保育">#REF!</definedName>
    <definedName name="概算交付申出書">#REF!</definedName>
    <definedName name="学校医" localSheetId="3">#REF!</definedName>
    <definedName name="学校医" localSheetId="2">[1]【様式５】職員数算出表!#REF!</definedName>
    <definedName name="学校医">【様式５】職員数算出表!$BL$7:$BL$107</definedName>
    <definedName name="教諭" localSheetId="3">#REF!</definedName>
    <definedName name="教諭" localSheetId="2">#REF!</definedName>
    <definedName name="教諭">【様式５】職員数算出表!$BB$7:$BB$107</definedName>
    <definedName name="業務委託" localSheetId="3">#REF!</definedName>
    <definedName name="業務委託">【様式５】職員数算出表!$BR$7:$BR$11</definedName>
    <definedName name="区分１">#REF!</definedName>
    <definedName name="区分２">#REF!</definedName>
    <definedName name="区分３">#REF!</definedName>
    <definedName name="公設民営">#REF!</definedName>
    <definedName name="厚別区01私立01保育所">'施設状況(要更新)'!$AC$4:$AC$51</definedName>
    <definedName name="厚別区01私立02幼稚園">'施設状況(要更新)'!$AC$4:$AC$20</definedName>
    <definedName name="厚別区01私立03認定こども園">'施設状況(要更新)'!$BT$4:$BT$51</definedName>
    <definedName name="厚別区02幼稚園">'施設状況(要更新)'!$AC$4:$AC$8</definedName>
    <definedName name="厚別区03公立02幼稚園">'施設状況(要更新)'!$AM$4:$AM$20</definedName>
    <definedName name="札幌三育幼稚園">'施設状況(要更新)'!$Z$2:$Z$8</definedName>
    <definedName name="札幌市あけぼの保育園">'施設状況(要更新)'!$Z$4:$CY$4</definedName>
    <definedName name="札幌市外01私立01保育所">'施設状況(要更新)'!$AI$4:$AI$51</definedName>
    <definedName name="札幌市外01私立02幼稚園">'施設状況(要更新)'!$BF$4:$BF$51</definedName>
    <definedName name="札幌市外01私立03認定こども園">'施設状況(要更新)'!$BZ$4:$BZ$51</definedName>
    <definedName name="札幌市外01私立04小規模A・B・C">'施設状況(要更新)'!$CL$4:$CL$51</definedName>
    <definedName name="札幌市外01私立06事業所内">'施設状況(要更新)'!$CZ$4:$CZ$51</definedName>
    <definedName name="札幌市外02公設民営01保育所">'施設状況(要更新)'!$AL$4:$AL$51</definedName>
    <definedName name="札幌市外03公立01保育所">'施設状況(要更新)'!$AU$4:$AU$51</definedName>
    <definedName name="札幌市外03公立03認定こども園">'施設状況(要更新)'!$CB$4:$CB$51</definedName>
    <definedName name="施設C" localSheetId="2">#REF!</definedName>
    <definedName name="施設C">#REF!</definedName>
    <definedName name="施設種別">#REF!</definedName>
    <definedName name="施設長" localSheetId="3">#REF!</definedName>
    <definedName name="施設長">【様式５】職員数算出表!$AZ$7:$AZ$107</definedName>
    <definedName name="事業所内保育">#REF!</definedName>
    <definedName name="事務員" localSheetId="3">#REF!</definedName>
    <definedName name="事務員">【様式５】職員数算出表!$BJ$7:$BJ$107</definedName>
    <definedName name="手稲区01私立01保育所">'施設状況(要更新)'!$AH$4:$AH$51</definedName>
    <definedName name="手稲区01私立02幼稚園">'施設状況(要更新)'!$AH$4:$AH$20</definedName>
    <definedName name="手稲区01私立03認定こども園">'施設状況(要更新)'!$BY$4:$BY$51</definedName>
    <definedName name="手稲区01私立04小規模A・B・C">'施設状況(要更新)'!$CK$4:$CK$51</definedName>
    <definedName name="手稲区01私立05家庭的">'施設状況(要更新)'!$CT$4:$CT$51</definedName>
    <definedName name="手稲区02幼稚園">'施設状況(要更新)'!$AH$4:$AH$5</definedName>
    <definedName name="手稲区03公立01保育所">'施設状況(要更新)'!$AT$4:$AT$51</definedName>
    <definedName name="手稲区03公立02幼稚園">'施設状況(要更新)'!$AQ$4:$AQ$20</definedName>
    <definedName name="修正後施設マスタ" localSheetId="2">#REF!</definedName>
    <definedName name="修正後施設マスタ">#REF!</definedName>
    <definedName name="祝日">'休日情報(要更新)'!#REF!</definedName>
    <definedName name="小規模保育">#REF!</definedName>
    <definedName name="常勤">【様式2】職員名簿!$AB$27:$AB$31</definedName>
    <definedName name="常勤事務員" localSheetId="3">#REF!</definedName>
    <definedName name="常勤事務員" localSheetId="2">[1]【様式５】職員数算出表!#REF!</definedName>
    <definedName name="常勤事務員">【様式５】職員数算出表!$BH$7:$BH$107</definedName>
    <definedName name="常勤調理員" localSheetId="3">#REF!</definedName>
    <definedName name="常勤調理員" localSheetId="2">[1]【様式５】職員数算出表!#REF!</definedName>
    <definedName name="常勤調理員">[2]【様式５】職員数算出表!#REF!</definedName>
    <definedName name="常勤保育士" localSheetId="3">#REF!</definedName>
    <definedName name="清田区01私立01保育所">'施設状況(要更新)'!$AE$4:$AE$51</definedName>
    <definedName name="清田区01私立02幼稚園">'施設状況(要更新)'!$AE$4:$AE$20</definedName>
    <definedName name="清田区01私立03認定こども園">'施設状況(要更新)'!$BV$4:$BV$51</definedName>
    <definedName name="清田区01私立04小規模A・B・C">'施設状況(要更新)'!$CH$4:$CH$51</definedName>
    <definedName name="清田区01私立05家庭的">'施設状況(要更新)'!$CQ$4:$CQ$51</definedName>
    <definedName name="清田区02幼稚園">'施設状況(要更新)'!$AE$4:$AE$5</definedName>
    <definedName name="清田区03公立03認定こども園">'施設状況(要更新)'!$CA$4:$CA$51</definedName>
    <definedName name="西区01私立01保育所">'施設状況(要更新)'!$AG$4:$AG$51</definedName>
    <definedName name="西区01私立02幼稚園">'施設状況(要更新)'!$AG$4:$AG$20</definedName>
    <definedName name="西区01私立03認定こども園">'施設状況(要更新)'!$BX$4:$BX$51</definedName>
    <definedName name="西区01私立04小規模A・B・C">'施設状況(要更新)'!$CJ$4:$CJ$51</definedName>
    <definedName name="西区01私立05家庭的">'施設状況(要更新)'!$CS$4:$CS$51</definedName>
    <definedName name="西区01私立06事業所内">'施設状況(要更新)'!$CY$4:$CY$51</definedName>
    <definedName name="西区02公設民営01保育所">'施設状況(要更新)'!$AK$4:$AK$51</definedName>
    <definedName name="西区02幼稚園">'施設状況(要更新)'!$AG$4:$AG$20</definedName>
    <definedName name="西区03公立01保育所">'施設状況(要更新)'!$AS$4:$AS$51</definedName>
    <definedName name="西区03公立02幼稚園">'施設状況(要更新)'!$AP$4:$AP$20</definedName>
    <definedName name="請求書">#REF!</definedName>
    <definedName name="全員" localSheetId="3">#REF!</definedName>
    <definedName name="全員">【様式５】職員数算出表!$BN$7:$BN$107</definedName>
    <definedName name="全職種" localSheetId="3">#REF!</definedName>
    <definedName name="全職種">【様式５】職員数算出表!$BN$7:$BN$107</definedName>
    <definedName name="対象の有無" localSheetId="3">#REF!</definedName>
    <definedName name="対象の有無" localSheetId="2">#REF!</definedName>
    <definedName name="対象の有無">#REF!</definedName>
    <definedName name="中央区01私立01保育所">'施設状況(要更新)'!$Y$4:$Y$51</definedName>
    <definedName name="中央区01私立02幼稚園">'施設状況(要更新)'!$Y$4:$Y$20</definedName>
    <definedName name="中央区01私立03認定こども園">'施設状況(要更新)'!$BP$4:$BP$51</definedName>
    <definedName name="中央区01私立04小規模A・B・C">'施設状況(要更新)'!$CC$4:$CC$51</definedName>
    <definedName name="中央区02公設民営01保育所">'施設状況(要更新)'!$AJ$4:$AJ$51</definedName>
    <definedName name="中央区02幼稚園">'施設状況(要更新)'!$Y$4:$Y$14</definedName>
    <definedName name="中央区03公立01保育所">'施設状況(要更新)'!$AM$4:$AM$51</definedName>
    <definedName name="中央区03公立02幼稚園">'施設状況(要更新)'!$AI$4:$AI$20</definedName>
    <definedName name="調理員" localSheetId="3">#REF!</definedName>
    <definedName name="調理員">【様式５】職員数算出表!$BF$7:$BF$107</definedName>
    <definedName name="東区01私立01保育所">'施設状況(要更新)'!$AA$4:$AA$51</definedName>
    <definedName name="東区01私立02幼稚園">'施設状況(要更新)'!$AA$4:$AA$20</definedName>
    <definedName name="東区01私立03認定こども園">'施設状況(要更新)'!$BR$4:$BR$51</definedName>
    <definedName name="東区01私立04小規模A・B・C">'施設状況(要更新)'!$CE$4:$CE$51</definedName>
    <definedName name="東区01私立05家庭的">'施設状況(要更新)'!$CN$4:$CN$51</definedName>
    <definedName name="東区01私立06事業所内">'施設状況(要更新)'!$CU$4:$CU$51</definedName>
    <definedName name="東区02幼稚園">'施設状況(要更新)'!$AA$4:$AA$20</definedName>
    <definedName name="東区03公立01保育所">'施設状況(要更新)'!$AO$4:$AO$51</definedName>
    <definedName name="東区03公立02幼稚園">'施設状況(要更新)'!$AK$4:$AK$20</definedName>
    <definedName name="南区01私立01保育所">'施設状況(要更新)'!$AF$4:$AF$51</definedName>
    <definedName name="南区01私立02幼稚園">'施設状況(要更新)'!$AF$4:$AF$20</definedName>
    <definedName name="南区01私立03認定こども園">'施設状況(要更新)'!$BW$4:$BW$51</definedName>
    <definedName name="南区01私立04小規模A・B・C">'施設状況(要更新)'!$CI$4:$CI$51</definedName>
    <definedName name="南区01私立05家庭的">'施設状況(要更新)'!$CR$4:$CR$51</definedName>
    <definedName name="南区01私立06事業所内">'施設状況(要更新)'!$CX$4:$CX$51</definedName>
    <definedName name="南区02幼稚園">'施設状況(要更新)'!$AF$4:$AF$13</definedName>
    <definedName name="南区03公立01保育所">'施設状況(要更新)'!$AR$4:$AR$51</definedName>
    <definedName name="南区03公立02幼稚園">'施設状況(要更新)'!$AO$4:$AO$20</definedName>
    <definedName name="南区03公立04小規模A・B・C">'施設状況(要更新)'!$CR$4:$CR$51</definedName>
    <definedName name="認定こども園">#REF!</definedName>
    <definedName name="認定区分">#REF!</definedName>
    <definedName name="白石区01私立01保育所">'施設状況(要更新)'!$AB$4:$AB$51</definedName>
    <definedName name="白石区01私立02幼稚園">'施設状況(要更新)'!$AB$4:$AB$20</definedName>
    <definedName name="白石区01私立03認定こども園">'施設状況(要更新)'!$BS$4:$BS$51</definedName>
    <definedName name="白石区01私立04小規模A・B・C">'施設状況(要更新)'!$CF$4:$CF$51</definedName>
    <definedName name="白石区01私立05家庭的">'施設状況(要更新)'!$CO$4:$CO$51</definedName>
    <definedName name="白石区01私立06事業所内">'施設状況(要更新)'!$CV$4:$CV$51</definedName>
    <definedName name="白石区02幼稚園">'施設状況(要更新)'!$AB$4:$AB$8</definedName>
    <definedName name="白石区03公立01保育所">'施設状況(要更新)'!$AP$4:$AP$51</definedName>
    <definedName name="白石区03公立02幼稚園">'施設状況(要更新)'!$AL$4:$AL$20</definedName>
    <definedName name="非常勤" localSheetId="3">#REF!</definedName>
    <definedName name="非常勤" localSheetId="2">#REF!</definedName>
    <definedName name="非常勤">【様式2】職員名簿!$AC$27:$AC$31</definedName>
    <definedName name="副園長" localSheetId="3">#REF!</definedName>
    <definedName name="副園長" localSheetId="2">[1]【様式５】職員数算出表!#REF!</definedName>
    <definedName name="副園長">【様式５】職員数算出表!$BP$7:$BP$107</definedName>
    <definedName name="保育園連絡先">#REF!</definedName>
    <definedName name="保育士" localSheetId="3">#REF!</definedName>
    <definedName name="保育所">#REF!</definedName>
    <definedName name="豊平区01私立01保育所">'施設状況(要更新)'!$AD$4:$AD$51</definedName>
    <definedName name="豊平区01私立02幼稚園">'施設状況(要更新)'!$AD$4:$AD$20</definedName>
    <definedName name="豊平区01私立03認定こども園">'施設状況(要更新)'!$BU$4:$BU$51</definedName>
    <definedName name="豊平区01私立04小規模A・B・C">'施設状況(要更新)'!$CG$4:$CG$51</definedName>
    <definedName name="豊平区01私立05家庭的">'施設状況(要更新)'!$CP$4:$CP$51</definedName>
    <definedName name="豊平区01私立06事業所内">'施設状況(要更新)'!$CW$4:$CW$51</definedName>
    <definedName name="豊平区02幼稚園">'施設状況(要更新)'!$AD$4:$AD$11</definedName>
    <definedName name="豊平区03公立01保育所">'施設状況(要更新)'!$AQ$4:$AQ$51</definedName>
    <definedName name="豊平区03公立02幼稚園">'施設状況(要更新)'!$AN$4:$AN$20</definedName>
    <definedName name="北区01私立01保育所">'施設状況(要更新)'!$Z$4:$Z$51</definedName>
    <definedName name="北区01私立02幼稚園">'施設状況(要更新)'!$Z$4:$Z$20</definedName>
    <definedName name="北区01私立03認定こども園">'施設状況(要更新)'!$BQ$4:$BQ$51</definedName>
    <definedName name="北区01私立04小規模A・B・C">'施設状況(要更新)'!$CD$4:$CD$51</definedName>
    <definedName name="北区01私立05家庭的">'施設状況(要更新)'!$CM$4:$CM$51</definedName>
    <definedName name="北区02幼稚園">'施設状況(要更新)'!$Z$4:$Z$51</definedName>
    <definedName name="北区03公立01保育所">'施設状況(要更新)'!$AN$4:$AN$51</definedName>
    <definedName name="北区03公立02幼稚園">'施設状況(要更新)'!$AJ$4:$AJ$20</definedName>
    <definedName name="名前１">#REF!</definedName>
    <definedName name="名前２">#REF!</definedName>
    <definedName name="幼稚園">#REF!</definedName>
    <definedName name="曜日" localSheetId="2">#REF!</definedName>
    <definedName name="曜日">#REF!</definedName>
    <definedName name="様式３">#REF!</definedName>
    <definedName name="様式４">#REF!</definedName>
    <definedName name="和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249" i="23" l="1"/>
  <c r="L4" i="32" l="1"/>
  <c r="K4" i="32"/>
  <c r="K3" i="32"/>
  <c r="AB244" i="23" l="1"/>
  <c r="I245" i="23"/>
  <c r="L95" i="23" l="1"/>
  <c r="F14" i="27" l="1"/>
  <c r="F13" i="27"/>
  <c r="AD26" i="22" l="1"/>
  <c r="T26" i="22"/>
  <c r="AI248" i="23"/>
  <c r="AF246" i="23" s="1"/>
  <c r="AI220" i="23"/>
  <c r="AI95" i="23" l="1"/>
  <c r="Q26" i="22" s="1"/>
  <c r="AM28" i="23"/>
  <c r="AM29" i="23" s="1"/>
  <c r="AM25" i="23"/>
  <c r="AM26" i="23" s="1"/>
  <c r="AM22" i="23"/>
  <c r="AM23" i="23" s="1"/>
  <c r="AM19" i="23"/>
  <c r="AM20" i="23" s="1"/>
  <c r="O26" i="22" l="1"/>
  <c r="AA97" i="23" s="1"/>
  <c r="W26" i="22"/>
  <c r="N26" i="22"/>
  <c r="F26" i="22" s="1"/>
  <c r="F2" i="40"/>
  <c r="E2" i="40"/>
  <c r="D2" i="40"/>
  <c r="B9" i="40" l="1"/>
  <c r="B3" i="40"/>
  <c r="B8" i="40"/>
  <c r="W4" i="23"/>
  <c r="C23" i="41"/>
  <c r="C12" i="41"/>
  <c r="W5" i="27" l="1"/>
  <c r="K6" i="38" l="1"/>
  <c r="AT105" i="22" l="1"/>
  <c r="AV105" i="22"/>
  <c r="AX105" i="22" s="1"/>
  <c r="AT106" i="22"/>
  <c r="AV106" i="22"/>
  <c r="AX106" i="22" s="1"/>
  <c r="AT107" i="22"/>
  <c r="AV107" i="22"/>
  <c r="AX107" i="22"/>
  <c r="T22" i="22" l="1"/>
  <c r="Q17" i="22"/>
  <c r="J20" i="22" l="1"/>
  <c r="J19" i="22"/>
  <c r="R31" i="22"/>
  <c r="AI138" i="23" l="1"/>
  <c r="AV9" i="22" l="1"/>
  <c r="AX9" i="22" s="1"/>
  <c r="AV10" i="22"/>
  <c r="AX10" i="22" s="1"/>
  <c r="AV11" i="22"/>
  <c r="AX11" i="22" s="1"/>
  <c r="AV12" i="22"/>
  <c r="AX12" i="22" s="1"/>
  <c r="AV13" i="22"/>
  <c r="AX13" i="22" s="1"/>
  <c r="AV14" i="22"/>
  <c r="AX14" i="22" s="1"/>
  <c r="AV15" i="22"/>
  <c r="AX15" i="22" s="1"/>
  <c r="AV16" i="22"/>
  <c r="AX16" i="22" s="1"/>
  <c r="AV17" i="22"/>
  <c r="AX17" i="22" s="1"/>
  <c r="AV18" i="22"/>
  <c r="AX18" i="22" s="1"/>
  <c r="AV19" i="22"/>
  <c r="AX19" i="22" s="1"/>
  <c r="AV20" i="22"/>
  <c r="AX20" i="22" s="1"/>
  <c r="AV21" i="22"/>
  <c r="AX21" i="22" s="1"/>
  <c r="AV22" i="22"/>
  <c r="AX22" i="22" s="1"/>
  <c r="AV23" i="22"/>
  <c r="AX23" i="22" s="1"/>
  <c r="AV24" i="22"/>
  <c r="AX24" i="22" s="1"/>
  <c r="AV25" i="22"/>
  <c r="AX25" i="22" s="1"/>
  <c r="AV26" i="22"/>
  <c r="AX26" i="22" s="1"/>
  <c r="AV27" i="22"/>
  <c r="AX27" i="22" s="1"/>
  <c r="AV28" i="22"/>
  <c r="AX28" i="22" s="1"/>
  <c r="AV29" i="22"/>
  <c r="AX29" i="22" s="1"/>
  <c r="AV30" i="22"/>
  <c r="AX30" i="22" s="1"/>
  <c r="AV31" i="22"/>
  <c r="AX31" i="22" s="1"/>
  <c r="AV32" i="22"/>
  <c r="AX32" i="22" s="1"/>
  <c r="AV33" i="22"/>
  <c r="AX33" i="22" s="1"/>
  <c r="AV34" i="22"/>
  <c r="AX34" i="22" s="1"/>
  <c r="AV35" i="22"/>
  <c r="AX35" i="22" s="1"/>
  <c r="AV36" i="22"/>
  <c r="AX36" i="22" s="1"/>
  <c r="AV37" i="22"/>
  <c r="AX37" i="22" s="1"/>
  <c r="AV38" i="22"/>
  <c r="AX38" i="22" s="1"/>
  <c r="AV39" i="22"/>
  <c r="AX39" i="22" s="1"/>
  <c r="AV40" i="22"/>
  <c r="AX40" i="22" s="1"/>
  <c r="AV41" i="22"/>
  <c r="AX41" i="22" s="1"/>
  <c r="AV42" i="22"/>
  <c r="AX42" i="22" s="1"/>
  <c r="AV43" i="22"/>
  <c r="AX43" i="22" s="1"/>
  <c r="AV44" i="22"/>
  <c r="AX44" i="22" s="1"/>
  <c r="AV45" i="22"/>
  <c r="AX45" i="22" s="1"/>
  <c r="AV46" i="22"/>
  <c r="AX46" i="22" s="1"/>
  <c r="AV47" i="22"/>
  <c r="AX47" i="22" s="1"/>
  <c r="AV48" i="22"/>
  <c r="AX48" i="22" s="1"/>
  <c r="AV49" i="22"/>
  <c r="AX49" i="22" s="1"/>
  <c r="AV50" i="22"/>
  <c r="AX50" i="22" s="1"/>
  <c r="AV51" i="22"/>
  <c r="AX51" i="22" s="1"/>
  <c r="AV52" i="22"/>
  <c r="AX52" i="22" s="1"/>
  <c r="AV53" i="22"/>
  <c r="AX53" i="22" s="1"/>
  <c r="AV54" i="22"/>
  <c r="AX54" i="22" s="1"/>
  <c r="AV55" i="22"/>
  <c r="AX55" i="22" s="1"/>
  <c r="AV56" i="22"/>
  <c r="AX56" i="22" s="1"/>
  <c r="AV57" i="22"/>
  <c r="AX57" i="22" s="1"/>
  <c r="AV58" i="22"/>
  <c r="AX58" i="22" s="1"/>
  <c r="AV59" i="22"/>
  <c r="AX59" i="22" s="1"/>
  <c r="AV60" i="22"/>
  <c r="AX60" i="22" s="1"/>
  <c r="AV61" i="22"/>
  <c r="AX61" i="22" s="1"/>
  <c r="AV62" i="22"/>
  <c r="AX62" i="22" s="1"/>
  <c r="AV63" i="22"/>
  <c r="AX63" i="22" s="1"/>
  <c r="AV64" i="22"/>
  <c r="AX64" i="22" s="1"/>
  <c r="AV65" i="22"/>
  <c r="AX65" i="22" s="1"/>
  <c r="AV66" i="22"/>
  <c r="AX66" i="22" s="1"/>
  <c r="AV67" i="22"/>
  <c r="AX67" i="22" s="1"/>
  <c r="AV68" i="22"/>
  <c r="AX68" i="22" s="1"/>
  <c r="AV69" i="22"/>
  <c r="AX69" i="22" s="1"/>
  <c r="AV70" i="22"/>
  <c r="AX70" i="22" s="1"/>
  <c r="AV71" i="22"/>
  <c r="AX71" i="22" s="1"/>
  <c r="AV72" i="22"/>
  <c r="AX72" i="22" s="1"/>
  <c r="AV73" i="22"/>
  <c r="AX73" i="22" s="1"/>
  <c r="AV74" i="22"/>
  <c r="AX74" i="22" s="1"/>
  <c r="AV75" i="22"/>
  <c r="AX75" i="22" s="1"/>
  <c r="AV76" i="22"/>
  <c r="AX76" i="22" s="1"/>
  <c r="AV77" i="22"/>
  <c r="AX77" i="22" s="1"/>
  <c r="AV78" i="22"/>
  <c r="AX78" i="22" s="1"/>
  <c r="AV79" i="22"/>
  <c r="AX79" i="22" s="1"/>
  <c r="AV80" i="22"/>
  <c r="AX80" i="22" s="1"/>
  <c r="AV81" i="22"/>
  <c r="AX81" i="22" s="1"/>
  <c r="AV82" i="22"/>
  <c r="AX82" i="22" s="1"/>
  <c r="AV83" i="22"/>
  <c r="AX83" i="22" s="1"/>
  <c r="AV84" i="22"/>
  <c r="AX84" i="22" s="1"/>
  <c r="AV85" i="22"/>
  <c r="AX85" i="22" s="1"/>
  <c r="AV86" i="22"/>
  <c r="AX86" i="22" s="1"/>
  <c r="AV87" i="22"/>
  <c r="AX87" i="22" s="1"/>
  <c r="AV88" i="22"/>
  <c r="AX88" i="22" s="1"/>
  <c r="AV89" i="22"/>
  <c r="AX89" i="22" s="1"/>
  <c r="AV90" i="22"/>
  <c r="AX90" i="22" s="1"/>
  <c r="AV91" i="22"/>
  <c r="AX91" i="22" s="1"/>
  <c r="AV92" i="22"/>
  <c r="AX92" i="22" s="1"/>
  <c r="AV93" i="22"/>
  <c r="AX93" i="22" s="1"/>
  <c r="AV94" i="22"/>
  <c r="AX94" i="22" s="1"/>
  <c r="AV95" i="22"/>
  <c r="AX95" i="22" s="1"/>
  <c r="AV96" i="22"/>
  <c r="AX96" i="22" s="1"/>
  <c r="AV97" i="22"/>
  <c r="AX97" i="22" s="1"/>
  <c r="AV98" i="22"/>
  <c r="AX98" i="22" s="1"/>
  <c r="AV99" i="22"/>
  <c r="AX99" i="22" s="1"/>
  <c r="AV100" i="22"/>
  <c r="AX100" i="22" s="1"/>
  <c r="AV101" i="22"/>
  <c r="AX101" i="22" s="1"/>
  <c r="AV102" i="22"/>
  <c r="AX102" i="22" s="1"/>
  <c r="AV103" i="22"/>
  <c r="AX103" i="22" s="1"/>
  <c r="AV104" i="22"/>
  <c r="AX104" i="22" s="1"/>
  <c r="D34" i="38"/>
  <c r="D10" i="23" l="1"/>
  <c r="V174" i="23" l="1"/>
  <c r="AA128" i="23"/>
  <c r="M2" i="37" l="1"/>
  <c r="J14" i="37" s="1"/>
  <c r="B63" i="38"/>
  <c r="R65" i="38" s="1"/>
  <c r="B67" i="38" s="1"/>
  <c r="B22" i="38"/>
  <c r="R23" i="38" s="1"/>
  <c r="T2" i="38"/>
  <c r="J35" i="38"/>
  <c r="T60" i="22"/>
  <c r="D60" i="22" s="1"/>
  <c r="T59" i="22"/>
  <c r="D59" i="22" s="1"/>
  <c r="T58" i="22"/>
  <c r="D58" i="22" s="1"/>
  <c r="T57" i="22"/>
  <c r="T56" i="22"/>
  <c r="T55" i="22"/>
  <c r="D55" i="22" s="1"/>
  <c r="T54" i="22"/>
  <c r="D54" i="22" s="1"/>
  <c r="T53" i="22"/>
  <c r="D53" i="22" s="1"/>
  <c r="T52" i="22"/>
  <c r="T51" i="22"/>
  <c r="D51" i="22" s="1"/>
  <c r="T50" i="22"/>
  <c r="D50" i="22" s="1"/>
  <c r="T49" i="22"/>
  <c r="D49" i="22" s="1"/>
  <c r="T48" i="22"/>
  <c r="D48" i="22" s="1"/>
  <c r="T47" i="22"/>
  <c r="D47" i="22" s="1"/>
  <c r="T46" i="22"/>
  <c r="D46" i="22" s="1"/>
  <c r="D57" i="22"/>
  <c r="D56" i="22"/>
  <c r="D52" i="22"/>
  <c r="AV174" i="23"/>
  <c r="AU174" i="23"/>
  <c r="AT174" i="23"/>
  <c r="AS174" i="23"/>
  <c r="AR174" i="23"/>
  <c r="AQ174" i="23"/>
  <c r="AP174" i="23"/>
  <c r="AO174" i="23"/>
  <c r="AN174" i="23"/>
  <c r="AM174" i="23"/>
  <c r="AL174" i="23"/>
  <c r="AK174" i="23"/>
  <c r="AI9" i="35"/>
  <c r="BR10" i="35" s="1"/>
  <c r="AN7" i="35"/>
  <c r="AI59" i="35"/>
  <c r="AI60" i="35" s="1"/>
  <c r="AH59" i="35"/>
  <c r="AH60" i="35" s="1"/>
  <c r="AI44" i="35"/>
  <c r="AI45" i="35" s="1"/>
  <c r="AI34" i="35"/>
  <c r="AI35" i="35" s="1"/>
  <c r="AI19" i="35"/>
  <c r="AI20" i="35" s="1"/>
  <c r="AJ2" i="23"/>
  <c r="O16" i="30"/>
  <c r="R16" i="30" s="1"/>
  <c r="R46" i="30"/>
  <c r="R45" i="30"/>
  <c r="R44" i="30"/>
  <c r="O43" i="30"/>
  <c r="R43" i="30" s="1"/>
  <c r="O42" i="30"/>
  <c r="R42" i="30" s="1"/>
  <c r="O41" i="30"/>
  <c r="R41" i="30" s="1"/>
  <c r="O40" i="30"/>
  <c r="R40" i="30" s="1"/>
  <c r="O39" i="30"/>
  <c r="R39" i="30" s="1"/>
  <c r="O38" i="30"/>
  <c r="R38" i="30" s="1"/>
  <c r="O37" i="30"/>
  <c r="R37" i="30" s="1"/>
  <c r="O36" i="30"/>
  <c r="R36" i="30" s="1"/>
  <c r="O35" i="30"/>
  <c r="R35" i="30" s="1"/>
  <c r="O34" i="30"/>
  <c r="R34" i="30" s="1"/>
  <c r="O33" i="30"/>
  <c r="R33" i="30" s="1"/>
  <c r="O32" i="30"/>
  <c r="R32" i="30" s="1"/>
  <c r="O31" i="30"/>
  <c r="R31" i="30" s="1"/>
  <c r="O30" i="30"/>
  <c r="R30" i="30" s="1"/>
  <c r="O29" i="30"/>
  <c r="R29" i="30" s="1"/>
  <c r="O28" i="30"/>
  <c r="R28" i="30" s="1"/>
  <c r="O27" i="30"/>
  <c r="R27" i="30" s="1"/>
  <c r="O26" i="30"/>
  <c r="R26" i="30" s="1"/>
  <c r="O25" i="30"/>
  <c r="R25" i="30" s="1"/>
  <c r="O24" i="30"/>
  <c r="R24" i="30" s="1"/>
  <c r="O23" i="30"/>
  <c r="R23" i="30" s="1"/>
  <c r="O22" i="30"/>
  <c r="R22" i="30" s="1"/>
  <c r="O21" i="30"/>
  <c r="R21" i="30" s="1"/>
  <c r="O20" i="30"/>
  <c r="R20" i="30" s="1"/>
  <c r="O19" i="30"/>
  <c r="R19" i="30" s="1"/>
  <c r="O18" i="30"/>
  <c r="R18" i="30" s="1"/>
  <c r="O17" i="30"/>
  <c r="R17" i="30" s="1"/>
  <c r="O15" i="30"/>
  <c r="R15" i="30" s="1"/>
  <c r="O14" i="30"/>
  <c r="R14" i="30" s="1"/>
  <c r="O13" i="30"/>
  <c r="R13" i="30" s="1"/>
  <c r="O12" i="30"/>
  <c r="R12" i="30" s="1"/>
  <c r="O11" i="30"/>
  <c r="R11" i="30" s="1"/>
  <c r="O10" i="30"/>
  <c r="R10" i="30" s="1"/>
  <c r="O9" i="30"/>
  <c r="R9" i="30" s="1"/>
  <c r="O8" i="30"/>
  <c r="R8" i="30" s="1"/>
  <c r="O7" i="30"/>
  <c r="R7" i="30" s="1"/>
  <c r="O6" i="30"/>
  <c r="R6" i="30" s="1"/>
  <c r="O5" i="30"/>
  <c r="R5" i="30" s="1"/>
  <c r="O4" i="30"/>
  <c r="R4" i="30" s="1"/>
  <c r="T17" i="22"/>
  <c r="N17" i="22"/>
  <c r="E33" i="22"/>
  <c r="L99" i="22" s="1"/>
  <c r="O34" i="22"/>
  <c r="O33" i="22"/>
  <c r="O32" i="22"/>
  <c r="AS3" i="22"/>
  <c r="BA4" i="22" s="1"/>
  <c r="O39" i="22"/>
  <c r="N39" i="22"/>
  <c r="N34" i="22"/>
  <c r="N33" i="22"/>
  <c r="N32" i="22"/>
  <c r="T28" i="22"/>
  <c r="N30" i="22"/>
  <c r="T20" i="22"/>
  <c r="Q22" i="22"/>
  <c r="N22" i="22" s="1"/>
  <c r="T27" i="22"/>
  <c r="T25" i="22"/>
  <c r="T16" i="22"/>
  <c r="AC39" i="22"/>
  <c r="AC21" i="22"/>
  <c r="AC20" i="22"/>
  <c r="AC68" i="22"/>
  <c r="J35" i="22"/>
  <c r="T23" i="22"/>
  <c r="F68" i="22"/>
  <c r="W68" i="22" s="1"/>
  <c r="J66" i="22"/>
  <c r="J65" i="22"/>
  <c r="J64" i="22"/>
  <c r="J63" i="22"/>
  <c r="J61" i="22"/>
  <c r="J60" i="22"/>
  <c r="J59" i="22"/>
  <c r="J58" i="22"/>
  <c r="J56" i="22"/>
  <c r="J54" i="22"/>
  <c r="J52" i="22"/>
  <c r="J51" i="22"/>
  <c r="J50" i="22"/>
  <c r="J49" i="22"/>
  <c r="J48" i="22"/>
  <c r="J47" i="22"/>
  <c r="W67" i="22"/>
  <c r="W66" i="22"/>
  <c r="W65" i="22"/>
  <c r="W64" i="22"/>
  <c r="W63" i="22"/>
  <c r="W62" i="22"/>
  <c r="J62" i="22"/>
  <c r="W61" i="22"/>
  <c r="W60" i="22"/>
  <c r="W59" i="22"/>
  <c r="W58" i="22"/>
  <c r="W57" i="22"/>
  <c r="W56" i="22"/>
  <c r="W55" i="22"/>
  <c r="W54" i="22"/>
  <c r="W53" i="22"/>
  <c r="W52" i="22"/>
  <c r="W51" i="22"/>
  <c r="W50" i="22"/>
  <c r="W49" i="22"/>
  <c r="W48" i="22"/>
  <c r="W47" i="22"/>
  <c r="W46" i="22"/>
  <c r="T21" i="22"/>
  <c r="AD36" i="22"/>
  <c r="AD27" i="22"/>
  <c r="AD25" i="22"/>
  <c r="J67" i="22"/>
  <c r="A12" i="38"/>
  <c r="A54" i="38"/>
  <c r="L44" i="38"/>
  <c r="BS8" i="22"/>
  <c r="BS9" i="22"/>
  <c r="U39" i="22" s="1"/>
  <c r="AD39" i="22" s="1"/>
  <c r="BS10" i="22"/>
  <c r="U21" i="22" s="1"/>
  <c r="AD21" i="22" s="1"/>
  <c r="BS11" i="22"/>
  <c r="BS7" i="22"/>
  <c r="U68" i="22" s="1"/>
  <c r="AD68" i="22" s="1"/>
  <c r="T67" i="22"/>
  <c r="D67" i="22" s="1"/>
  <c r="T61" i="22"/>
  <c r="D61" i="22" s="1"/>
  <c r="T62" i="22"/>
  <c r="D62" i="22" s="1"/>
  <c r="T63" i="22"/>
  <c r="D63" i="22" s="1"/>
  <c r="T64" i="22"/>
  <c r="D64" i="22" s="1"/>
  <c r="T65" i="22"/>
  <c r="D65" i="22" s="1"/>
  <c r="T66" i="22"/>
  <c r="D66" i="22" s="1"/>
  <c r="O37" i="16"/>
  <c r="M37" i="16"/>
  <c r="M127" i="16"/>
  <c r="AI18" i="23"/>
  <c r="AI39" i="23" s="1"/>
  <c r="M85" i="16"/>
  <c r="G85" i="16" s="1"/>
  <c r="O85" i="16" s="1"/>
  <c r="M53" i="16"/>
  <c r="M58" i="16"/>
  <c r="M81" i="16"/>
  <c r="M89" i="16"/>
  <c r="M51" i="16"/>
  <c r="M54" i="16"/>
  <c r="G54" i="16" s="1"/>
  <c r="O54" i="16" s="1"/>
  <c r="M59" i="16"/>
  <c r="M83" i="16"/>
  <c r="M86" i="16"/>
  <c r="M65" i="16"/>
  <c r="M96" i="16"/>
  <c r="M90" i="16"/>
  <c r="M101" i="16"/>
  <c r="M42" i="16"/>
  <c r="M106" i="16"/>
  <c r="M60" i="16"/>
  <c r="M62" i="16"/>
  <c r="M91" i="16"/>
  <c r="M64" i="16"/>
  <c r="M92" i="16"/>
  <c r="M41" i="16"/>
  <c r="M67" i="16"/>
  <c r="M69" i="16"/>
  <c r="M43" i="16"/>
  <c r="G43" i="16" s="1"/>
  <c r="O43" i="16" s="1"/>
  <c r="M70" i="16"/>
  <c r="M112" i="16"/>
  <c r="M44" i="16"/>
  <c r="M74" i="16"/>
  <c r="M122" i="16"/>
  <c r="M46" i="16"/>
  <c r="M75" i="16"/>
  <c r="M128" i="16"/>
  <c r="M48" i="16"/>
  <c r="M78" i="16"/>
  <c r="M49" i="16"/>
  <c r="M80" i="16"/>
  <c r="M138" i="16"/>
  <c r="M117" i="16"/>
  <c r="M133" i="16"/>
  <c r="M107" i="16"/>
  <c r="M123" i="16"/>
  <c r="M139" i="16"/>
  <c r="M102" i="16"/>
  <c r="M118" i="16"/>
  <c r="M134" i="16"/>
  <c r="M97" i="16"/>
  <c r="M113" i="16"/>
  <c r="M129" i="16"/>
  <c r="M108" i="16"/>
  <c r="M124" i="16"/>
  <c r="M76" i="16"/>
  <c r="M55" i="16"/>
  <c r="M71" i="16"/>
  <c r="M87" i="16"/>
  <c r="G87" i="16" s="1"/>
  <c r="O87" i="16" s="1"/>
  <c r="M103" i="16"/>
  <c r="M119" i="16"/>
  <c r="G119" i="16" s="1"/>
  <c r="O119" i="16" s="1"/>
  <c r="M135" i="16"/>
  <c r="M50" i="16"/>
  <c r="M66" i="16"/>
  <c r="M82" i="16"/>
  <c r="M98" i="16"/>
  <c r="M114" i="16"/>
  <c r="M130" i="16"/>
  <c r="M40" i="16"/>
  <c r="M45" i="16"/>
  <c r="M61" i="16"/>
  <c r="M77" i="16"/>
  <c r="M93" i="16"/>
  <c r="M109" i="16"/>
  <c r="M125" i="16"/>
  <c r="M56" i="16"/>
  <c r="M72" i="16"/>
  <c r="M88" i="16"/>
  <c r="M104" i="16"/>
  <c r="M120" i="16"/>
  <c r="M136" i="16"/>
  <c r="M99" i="16"/>
  <c r="M115" i="16"/>
  <c r="G115" i="16" s="1"/>
  <c r="O115" i="16" s="1"/>
  <c r="M131" i="16"/>
  <c r="M94" i="16"/>
  <c r="M110" i="16"/>
  <c r="M126" i="16"/>
  <c r="M105" i="16"/>
  <c r="M121" i="16"/>
  <c r="M137" i="16"/>
  <c r="M73" i="16"/>
  <c r="M52" i="16"/>
  <c r="M68" i="16"/>
  <c r="M84" i="16"/>
  <c r="M100" i="16"/>
  <c r="M116" i="16"/>
  <c r="M132" i="16"/>
  <c r="M57" i="16"/>
  <c r="M47" i="16"/>
  <c r="M63" i="16"/>
  <c r="M79" i="16"/>
  <c r="M95" i="16"/>
  <c r="M111" i="16"/>
  <c r="R36" i="16"/>
  <c r="Q36" i="16"/>
  <c r="BQ11" i="22"/>
  <c r="BQ8" i="22"/>
  <c r="BQ9" i="22"/>
  <c r="BQ10" i="22"/>
  <c r="BQ7" i="22"/>
  <c r="AF68" i="22" s="1"/>
  <c r="D68" i="22" s="1"/>
  <c r="F34" i="16"/>
  <c r="F33" i="16"/>
  <c r="F32" i="16"/>
  <c r="F31" i="16"/>
  <c r="F30" i="16"/>
  <c r="A40" i="16"/>
  <c r="A30" i="16"/>
  <c r="E31" i="16"/>
  <c r="R31" i="16" s="1"/>
  <c r="E32" i="16"/>
  <c r="E33" i="16"/>
  <c r="E34" i="16"/>
  <c r="L27" i="16"/>
  <c r="L37" i="16"/>
  <c r="L100" i="16" s="1"/>
  <c r="J100" i="16" s="1"/>
  <c r="A34" i="16"/>
  <c r="A33" i="16"/>
  <c r="A32" i="16"/>
  <c r="A31" i="16"/>
  <c r="L31" i="16"/>
  <c r="L34" i="16"/>
  <c r="L30" i="16"/>
  <c r="L33" i="16"/>
  <c r="L32" i="16"/>
  <c r="L122" i="16"/>
  <c r="J122" i="16" s="1"/>
  <c r="L106" i="16"/>
  <c r="J106" i="16" s="1"/>
  <c r="L58" i="16"/>
  <c r="L42" i="16"/>
  <c r="L68" i="16"/>
  <c r="J68" i="16"/>
  <c r="L57" i="16"/>
  <c r="L95" i="16"/>
  <c r="J95" i="16" s="1"/>
  <c r="L79" i="16"/>
  <c r="J79" i="16" s="1"/>
  <c r="L63" i="16"/>
  <c r="J63" i="16" s="1"/>
  <c r="L46" i="16"/>
  <c r="L91" i="16"/>
  <c r="J91" i="16" s="1"/>
  <c r="L48" i="16"/>
  <c r="L137" i="16"/>
  <c r="J137" i="16"/>
  <c r="L121" i="16"/>
  <c r="J121" i="16" s="1"/>
  <c r="L73" i="16"/>
  <c r="J73" i="16"/>
  <c r="L126" i="16"/>
  <c r="J126" i="16" s="1"/>
  <c r="L78" i="16"/>
  <c r="J78" i="16"/>
  <c r="L62" i="16"/>
  <c r="J62" i="16" s="1"/>
  <c r="L99" i="16"/>
  <c r="J99" i="16"/>
  <c r="L83" i="16"/>
  <c r="J83" i="16" s="1"/>
  <c r="L136" i="16"/>
  <c r="J136" i="16" s="1"/>
  <c r="L120" i="16"/>
  <c r="J120" i="16"/>
  <c r="L72" i="16"/>
  <c r="J72" i="16" s="1"/>
  <c r="L56" i="16"/>
  <c r="L55" i="16"/>
  <c r="L54" i="16"/>
  <c r="L139" i="16"/>
  <c r="J139" i="16" s="1"/>
  <c r="L123" i="16"/>
  <c r="J123" i="16" s="1"/>
  <c r="L109" i="16"/>
  <c r="J109" i="16"/>
  <c r="L93" i="16"/>
  <c r="J93" i="16" s="1"/>
  <c r="L40" i="16"/>
  <c r="L50" i="16"/>
  <c r="L130" i="16"/>
  <c r="J130" i="16" s="1"/>
  <c r="L82" i="16"/>
  <c r="J82" i="16" s="1"/>
  <c r="L66" i="16"/>
  <c r="J66" i="16" s="1"/>
  <c r="L49" i="16"/>
  <c r="L107" i="16"/>
  <c r="J107" i="16" s="1"/>
  <c r="L103" i="16"/>
  <c r="J103" i="16" s="1"/>
  <c r="L124" i="16"/>
  <c r="J124" i="16" s="1"/>
  <c r="L129" i="16"/>
  <c r="J129" i="16"/>
  <c r="L113" i="16"/>
  <c r="J113" i="16" s="1"/>
  <c r="L53" i="16"/>
  <c r="L134" i="16"/>
  <c r="J134" i="16"/>
  <c r="L86" i="16"/>
  <c r="J86" i="16" s="1"/>
  <c r="L70" i="16"/>
  <c r="J70" i="16"/>
  <c r="L80" i="16"/>
  <c r="J80" i="16"/>
  <c r="L64" i="16"/>
  <c r="J64" i="16" s="1"/>
  <c r="L85" i="16"/>
  <c r="J85" i="16" s="1"/>
  <c r="L69" i="16"/>
  <c r="J69" i="16" s="1"/>
  <c r="O34" i="16"/>
  <c r="M34" i="16"/>
  <c r="O33" i="16"/>
  <c r="J31" i="16"/>
  <c r="J34" i="16"/>
  <c r="A41" i="16"/>
  <c r="A42" i="16" s="1"/>
  <c r="A43" i="16" s="1"/>
  <c r="A44" i="16" s="1"/>
  <c r="A45" i="16" s="1"/>
  <c r="A46" i="16" s="1"/>
  <c r="A47" i="16"/>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E30" i="16"/>
  <c r="O30" i="16" s="1"/>
  <c r="M33" i="16"/>
  <c r="M30" i="16"/>
  <c r="AS4" i="22"/>
  <c r="AW4" i="22" s="1"/>
  <c r="AS5" i="22"/>
  <c r="AS6" i="22"/>
  <c r="A78" i="22" s="1"/>
  <c r="AS7" i="22"/>
  <c r="A79" i="22" s="1"/>
  <c r="AS8" i="22"/>
  <c r="BI3" i="22" s="1"/>
  <c r="AS9" i="22"/>
  <c r="A81" i="22" s="1"/>
  <c r="AS10" i="22"/>
  <c r="A82" i="22" s="1"/>
  <c r="AS2" i="22"/>
  <c r="A75" i="22" s="1"/>
  <c r="A77" i="22"/>
  <c r="T35" i="22"/>
  <c r="T38" i="22"/>
  <c r="T37" i="22"/>
  <c r="T41" i="22"/>
  <c r="T40" i="22"/>
  <c r="T30" i="22"/>
  <c r="T29" i="22"/>
  <c r="T24" i="22"/>
  <c r="T42" i="22"/>
  <c r="T19" i="22"/>
  <c r="T18" i="22"/>
  <c r="P146" i="16"/>
  <c r="P147" i="16"/>
  <c r="Q40" i="16"/>
  <c r="Q41" i="16"/>
  <c r="AT10" i="22"/>
  <c r="AT11" i="22"/>
  <c r="AT12" i="22"/>
  <c r="AT13" i="22"/>
  <c r="AT14" i="22"/>
  <c r="AT15" i="22"/>
  <c r="AT16" i="22"/>
  <c r="AT17" i="22"/>
  <c r="AT18" i="22"/>
  <c r="AT19" i="22"/>
  <c r="AT20" i="22"/>
  <c r="AT21" i="22"/>
  <c r="AT22" i="22"/>
  <c r="AT23" i="22"/>
  <c r="AT24" i="22"/>
  <c r="AT25" i="22"/>
  <c r="AT26" i="22"/>
  <c r="AT27" i="22"/>
  <c r="AT28" i="22"/>
  <c r="AT29" i="22"/>
  <c r="AT30" i="22"/>
  <c r="AT31" i="22"/>
  <c r="AT32" i="22"/>
  <c r="AT33" i="22"/>
  <c r="AT34" i="22"/>
  <c r="AT35" i="22"/>
  <c r="AT36" i="22"/>
  <c r="AT37" i="22"/>
  <c r="AT38" i="22"/>
  <c r="AT39" i="22"/>
  <c r="AT40" i="22"/>
  <c r="AT41" i="22"/>
  <c r="AT42" i="22"/>
  <c r="AT43" i="22"/>
  <c r="AT44" i="22"/>
  <c r="AT45" i="22"/>
  <c r="AT46" i="22"/>
  <c r="AT47" i="22"/>
  <c r="AT48" i="22"/>
  <c r="AT49" i="22"/>
  <c r="AT50" i="22"/>
  <c r="AT51" i="22"/>
  <c r="AT52" i="22"/>
  <c r="AT53" i="22"/>
  <c r="AT54" i="22"/>
  <c r="AT55" i="22"/>
  <c r="AT56" i="22"/>
  <c r="AT57" i="22"/>
  <c r="AT58" i="22"/>
  <c r="AT59" i="22"/>
  <c r="AT60" i="22"/>
  <c r="AT61" i="22"/>
  <c r="AT62" i="22"/>
  <c r="AT63" i="22"/>
  <c r="AT64" i="22"/>
  <c r="AT65" i="22"/>
  <c r="AT66" i="22"/>
  <c r="AT67" i="22"/>
  <c r="AT68" i="22"/>
  <c r="AT69" i="22"/>
  <c r="AT70" i="22"/>
  <c r="AT71" i="22"/>
  <c r="AT72" i="22"/>
  <c r="AT73" i="22"/>
  <c r="AT74" i="22"/>
  <c r="AT75" i="22"/>
  <c r="AT76" i="22"/>
  <c r="AT77" i="22"/>
  <c r="AT78" i="22"/>
  <c r="AT79" i="22"/>
  <c r="AT80" i="22"/>
  <c r="AT81" i="22"/>
  <c r="AT82" i="22"/>
  <c r="AT83" i="22"/>
  <c r="AT84" i="22"/>
  <c r="AT85" i="22"/>
  <c r="AT86" i="22"/>
  <c r="AT87" i="22"/>
  <c r="AT88" i="22"/>
  <c r="AT89" i="22"/>
  <c r="AT90" i="22"/>
  <c r="AT91" i="22"/>
  <c r="AT92" i="22"/>
  <c r="AT93" i="22"/>
  <c r="AT94" i="22"/>
  <c r="AT95" i="22"/>
  <c r="AT96" i="22"/>
  <c r="AT97" i="22"/>
  <c r="AT98" i="22"/>
  <c r="AT99" i="22"/>
  <c r="AT100" i="22"/>
  <c r="AT101" i="22"/>
  <c r="AT102" i="22"/>
  <c r="AT103" i="22"/>
  <c r="AT104" i="22"/>
  <c r="B94" i="31"/>
  <c r="B93" i="31"/>
  <c r="B92" i="31"/>
  <c r="B91" i="31"/>
  <c r="B90" i="31"/>
  <c r="B89" i="31"/>
  <c r="B88" i="31"/>
  <c r="B87" i="31"/>
  <c r="B65" i="31"/>
  <c r="B64" i="31"/>
  <c r="B63" i="31"/>
  <c r="B62" i="31"/>
  <c r="B61" i="31"/>
  <c r="B60" i="31"/>
  <c r="B59" i="31"/>
  <c r="B58" i="31"/>
  <c r="B57" i="31"/>
  <c r="B56" i="31"/>
  <c r="B55" i="31"/>
  <c r="B76" i="31"/>
  <c r="B75" i="31"/>
  <c r="B74" i="31"/>
  <c r="B73" i="31"/>
  <c r="B72" i="31"/>
  <c r="B71" i="31"/>
  <c r="B70" i="31"/>
  <c r="B69" i="31"/>
  <c r="B68" i="31"/>
  <c r="B67" i="31"/>
  <c r="B66" i="31"/>
  <c r="B86" i="31"/>
  <c r="B85" i="31"/>
  <c r="B84" i="31"/>
  <c r="B83" i="31"/>
  <c r="B82" i="31"/>
  <c r="B81" i="31"/>
  <c r="B80" i="31"/>
  <c r="B79" i="31"/>
  <c r="B78" i="31"/>
  <c r="B77" i="31"/>
  <c r="Q127" i="16"/>
  <c r="Q108" i="16"/>
  <c r="Q107" i="16"/>
  <c r="Q106" i="16"/>
  <c r="Q105" i="16"/>
  <c r="Q104" i="16"/>
  <c r="Q103" i="16"/>
  <c r="Q102" i="16"/>
  <c r="Q101" i="16"/>
  <c r="Q100" i="16"/>
  <c r="Q99" i="16"/>
  <c r="Q98" i="16"/>
  <c r="Q97" i="16"/>
  <c r="Q96" i="16"/>
  <c r="Q95" i="16"/>
  <c r="Q94" i="16"/>
  <c r="Q93" i="16"/>
  <c r="Q92" i="16"/>
  <c r="Q91" i="16"/>
  <c r="Q90" i="16"/>
  <c r="AV8" i="22"/>
  <c r="AT9" i="22"/>
  <c r="AT8" i="22"/>
  <c r="F98" i="22"/>
  <c r="Q139" i="16"/>
  <c r="Q138" i="16"/>
  <c r="Q137" i="16"/>
  <c r="Q136" i="16"/>
  <c r="Q135" i="16"/>
  <c r="Q134" i="16"/>
  <c r="Q133" i="16"/>
  <c r="Q132" i="16"/>
  <c r="Q131" i="16"/>
  <c r="Q130" i="16"/>
  <c r="Q129" i="16"/>
  <c r="Q128" i="16"/>
  <c r="Q126" i="16"/>
  <c r="Q125" i="16"/>
  <c r="Q124" i="16"/>
  <c r="Q123" i="16"/>
  <c r="Q122" i="16"/>
  <c r="Q121" i="16"/>
  <c r="Q120" i="16"/>
  <c r="Q119" i="16"/>
  <c r="Q118" i="16"/>
  <c r="Q117" i="16"/>
  <c r="Q116" i="16"/>
  <c r="Q115" i="16"/>
  <c r="Q114" i="16"/>
  <c r="Q113" i="16"/>
  <c r="Q112" i="16"/>
  <c r="Q111" i="16"/>
  <c r="Q110" i="16"/>
  <c r="Q109" i="16"/>
  <c r="Q89" i="16"/>
  <c r="Q88" i="16"/>
  <c r="Q87" i="16"/>
  <c r="Q86" i="16"/>
  <c r="Q85" i="16"/>
  <c r="Q84" i="16"/>
  <c r="Q83" i="16"/>
  <c r="Q82" i="16"/>
  <c r="Q81" i="16"/>
  <c r="Q80" i="16"/>
  <c r="Q79" i="16"/>
  <c r="Q78" i="16"/>
  <c r="Q77" i="16"/>
  <c r="Q76" i="16"/>
  <c r="Q75" i="16"/>
  <c r="Q74" i="16"/>
  <c r="Q73" i="16"/>
  <c r="Q72" i="16"/>
  <c r="Q71" i="16"/>
  <c r="Q70" i="16"/>
  <c r="Q69" i="16"/>
  <c r="Q68" i="16"/>
  <c r="Q67" i="16"/>
  <c r="Q66" i="16"/>
  <c r="Q65" i="16"/>
  <c r="Q64" i="16"/>
  <c r="Q63" i="16"/>
  <c r="Q62" i="16"/>
  <c r="Q61" i="16"/>
  <c r="Q60" i="16"/>
  <c r="Q59" i="16"/>
  <c r="Q58" i="16"/>
  <c r="Q57" i="16"/>
  <c r="Q56" i="16"/>
  <c r="Q55" i="16"/>
  <c r="Q54" i="16"/>
  <c r="Q53" i="16"/>
  <c r="Q52" i="16"/>
  <c r="Q51" i="16"/>
  <c r="Q50" i="16"/>
  <c r="Q49" i="16"/>
  <c r="Q48" i="16"/>
  <c r="Q47" i="16"/>
  <c r="Q46" i="16"/>
  <c r="Q45" i="16"/>
  <c r="Q44" i="16"/>
  <c r="Q43" i="16"/>
  <c r="Q42" i="16"/>
  <c r="W36" i="16"/>
  <c r="W105" i="16" s="1"/>
  <c r="V37" i="16"/>
  <c r="U37" i="16"/>
  <c r="U94" i="16" s="1"/>
  <c r="T37" i="16"/>
  <c r="S37" i="16"/>
  <c r="S36" i="16"/>
  <c r="S107" i="16"/>
  <c r="S105" i="16"/>
  <c r="S99" i="16"/>
  <c r="S95" i="16"/>
  <c r="S90" i="16"/>
  <c r="S100" i="16"/>
  <c r="S96" i="16"/>
  <c r="S91" i="16"/>
  <c r="S108" i="16"/>
  <c r="S102" i="16"/>
  <c r="S103" i="16"/>
  <c r="S101" i="16"/>
  <c r="S106" i="16"/>
  <c r="S104" i="16"/>
  <c r="S94" i="16"/>
  <c r="S127" i="16"/>
  <c r="S92" i="16"/>
  <c r="S98" i="16"/>
  <c r="S93" i="16"/>
  <c r="S97" i="16"/>
  <c r="W107" i="16"/>
  <c r="W90" i="16"/>
  <c r="W108" i="16"/>
  <c r="W102" i="16"/>
  <c r="W127" i="16"/>
  <c r="W97" i="16"/>
  <c r="W92" i="16"/>
  <c r="W106" i="16"/>
  <c r="W94" i="16"/>
  <c r="W93" i="16"/>
  <c r="W128" i="16"/>
  <c r="W123" i="16"/>
  <c r="W119" i="16"/>
  <c r="W84" i="16"/>
  <c r="W80" i="16"/>
  <c r="W76" i="16"/>
  <c r="W56" i="16"/>
  <c r="W52" i="16"/>
  <c r="W42" i="16"/>
  <c r="W86" i="16"/>
  <c r="W78" i="16"/>
  <c r="W74" i="16"/>
  <c r="W116" i="16"/>
  <c r="W89" i="16"/>
  <c r="W81" i="16"/>
  <c r="W139" i="16"/>
  <c r="W135" i="16"/>
  <c r="W131" i="16"/>
  <c r="W114" i="16"/>
  <c r="W110" i="16"/>
  <c r="W87" i="16"/>
  <c r="W71" i="16"/>
  <c r="W67" i="16"/>
  <c r="W63" i="16"/>
  <c r="W117" i="16"/>
  <c r="W109" i="16"/>
  <c r="W82" i="16"/>
  <c r="W133" i="16"/>
  <c r="W124" i="16"/>
  <c r="W120" i="16"/>
  <c r="W69" i="16"/>
  <c r="W61" i="16"/>
  <c r="W45" i="16"/>
  <c r="S139" i="16"/>
  <c r="S135" i="16"/>
  <c r="S131" i="16"/>
  <c r="S126" i="16"/>
  <c r="S138" i="16"/>
  <c r="S134" i="16"/>
  <c r="S130" i="16"/>
  <c r="S125" i="16"/>
  <c r="S137" i="16"/>
  <c r="S133" i="16"/>
  <c r="S129" i="16"/>
  <c r="S124" i="16"/>
  <c r="S120" i="16"/>
  <c r="S116" i="16"/>
  <c r="S112" i="16"/>
  <c r="S89" i="16"/>
  <c r="S85" i="16"/>
  <c r="S81" i="16"/>
  <c r="S77" i="16"/>
  <c r="S73" i="16"/>
  <c r="S69" i="16"/>
  <c r="S65" i="16"/>
  <c r="S61" i="16"/>
  <c r="S53" i="16"/>
  <c r="S136" i="16"/>
  <c r="S111" i="16"/>
  <c r="S110" i="16"/>
  <c r="S109" i="16"/>
  <c r="S76" i="16"/>
  <c r="S75" i="16"/>
  <c r="S74" i="16"/>
  <c r="S60" i="16"/>
  <c r="S59" i="16"/>
  <c r="S58" i="16"/>
  <c r="S46" i="16"/>
  <c r="S122" i="16"/>
  <c r="S88" i="16"/>
  <c r="S86" i="16"/>
  <c r="S132" i="16"/>
  <c r="S115" i="16"/>
  <c r="S114" i="16"/>
  <c r="S113" i="16"/>
  <c r="S80" i="16"/>
  <c r="S79" i="16"/>
  <c r="S78" i="16"/>
  <c r="S64" i="16"/>
  <c r="S63" i="16"/>
  <c r="S62" i="16"/>
  <c r="S121" i="16"/>
  <c r="S128" i="16"/>
  <c r="S119" i="16"/>
  <c r="S118" i="16"/>
  <c r="S117" i="16"/>
  <c r="S84" i="16"/>
  <c r="S83" i="16"/>
  <c r="S82" i="16"/>
  <c r="S68" i="16"/>
  <c r="S67" i="16"/>
  <c r="S66" i="16"/>
  <c r="S48" i="16"/>
  <c r="S44" i="16"/>
  <c r="S123" i="16"/>
  <c r="S87" i="16"/>
  <c r="S72" i="16"/>
  <c r="S71" i="16"/>
  <c r="S70" i="16"/>
  <c r="S55" i="16"/>
  <c r="T36" i="16"/>
  <c r="T108" i="16" s="1"/>
  <c r="P141" i="16"/>
  <c r="P142" i="16"/>
  <c r="P143" i="16"/>
  <c r="P144" i="16"/>
  <c r="P145" i="16"/>
  <c r="P140" i="16"/>
  <c r="T102" i="16"/>
  <c r="T100" i="16"/>
  <c r="T96" i="16"/>
  <c r="T91" i="16"/>
  <c r="T101" i="16"/>
  <c r="T127" i="16"/>
  <c r="T103" i="16"/>
  <c r="T92" i="16"/>
  <c r="T106" i="16"/>
  <c r="T104" i="16"/>
  <c r="T99" i="16"/>
  <c r="T98" i="16"/>
  <c r="T107" i="16"/>
  <c r="T95" i="16"/>
  <c r="T93" i="16"/>
  <c r="T90" i="16"/>
  <c r="T138" i="16"/>
  <c r="T134" i="16"/>
  <c r="T130" i="16"/>
  <c r="T125" i="16"/>
  <c r="T137" i="16"/>
  <c r="T133" i="16"/>
  <c r="T129" i="16"/>
  <c r="T136" i="16"/>
  <c r="T132" i="16"/>
  <c r="T128" i="16"/>
  <c r="T123" i="16"/>
  <c r="T119" i="16"/>
  <c r="T115" i="16"/>
  <c r="T111" i="16"/>
  <c r="T88" i="16"/>
  <c r="T84" i="16"/>
  <c r="T80" i="16"/>
  <c r="T76" i="16"/>
  <c r="T72" i="16"/>
  <c r="T68" i="16"/>
  <c r="T64" i="16"/>
  <c r="T60" i="16"/>
  <c r="T56" i="16"/>
  <c r="T52" i="16"/>
  <c r="T139" i="16"/>
  <c r="T114" i="16"/>
  <c r="T113" i="16"/>
  <c r="T112" i="16"/>
  <c r="T79" i="16"/>
  <c r="T78" i="16"/>
  <c r="T77" i="16"/>
  <c r="T63" i="16"/>
  <c r="T62" i="16"/>
  <c r="T61" i="16"/>
  <c r="T49" i="16"/>
  <c r="T45" i="16"/>
  <c r="T41" i="16"/>
  <c r="T110" i="16"/>
  <c r="T74" i="16"/>
  <c r="T135" i="16"/>
  <c r="T118" i="16"/>
  <c r="T117" i="16"/>
  <c r="T116" i="16"/>
  <c r="T83" i="16"/>
  <c r="T82" i="16"/>
  <c r="T81" i="16"/>
  <c r="T67" i="16"/>
  <c r="T66" i="16"/>
  <c r="T65" i="16"/>
  <c r="T48" i="16"/>
  <c r="T44" i="16"/>
  <c r="T40" i="16"/>
  <c r="T109" i="16"/>
  <c r="T73" i="16"/>
  <c r="T131" i="16"/>
  <c r="T122" i="16"/>
  <c r="T121" i="16"/>
  <c r="T120" i="16"/>
  <c r="T87" i="16"/>
  <c r="T86" i="16"/>
  <c r="T85" i="16"/>
  <c r="T71" i="16"/>
  <c r="T70" i="16"/>
  <c r="T69" i="16"/>
  <c r="T55" i="16"/>
  <c r="T54" i="16"/>
  <c r="T53" i="16"/>
  <c r="T51" i="16"/>
  <c r="T47" i="16"/>
  <c r="T43" i="16"/>
  <c r="T126" i="16"/>
  <c r="T124" i="16"/>
  <c r="T89" i="16"/>
  <c r="T75" i="16"/>
  <c r="T58" i="16"/>
  <c r="T50" i="16"/>
  <c r="T57" i="16"/>
  <c r="T42" i="16"/>
  <c r="T46" i="16"/>
  <c r="T59" i="16"/>
  <c r="U36" i="16"/>
  <c r="U101" i="16" s="1"/>
  <c r="U97" i="16"/>
  <c r="U92" i="16"/>
  <c r="U104" i="16"/>
  <c r="U108" i="16"/>
  <c r="U95" i="16"/>
  <c r="U91" i="16"/>
  <c r="U137" i="16"/>
  <c r="U133" i="16"/>
  <c r="U128" i="16"/>
  <c r="U131" i="16"/>
  <c r="U118" i="16"/>
  <c r="U110" i="16"/>
  <c r="U71" i="16"/>
  <c r="U67" i="16"/>
  <c r="U125" i="16"/>
  <c r="U115" i="16"/>
  <c r="U80" i="16"/>
  <c r="U66" i="16"/>
  <c r="U65" i="16"/>
  <c r="U112" i="16"/>
  <c r="U76" i="16"/>
  <c r="U138" i="16"/>
  <c r="U119" i="16"/>
  <c r="U84" i="16"/>
  <c r="U68" i="16"/>
  <c r="U54" i="16"/>
  <c r="U53" i="16"/>
  <c r="U78" i="16"/>
  <c r="U134" i="16"/>
  <c r="U124" i="16"/>
  <c r="U89" i="16"/>
  <c r="U73" i="16"/>
  <c r="U57" i="16"/>
  <c r="U56" i="16"/>
  <c r="U50" i="16"/>
  <c r="U61" i="16"/>
  <c r="U60" i="16"/>
  <c r="U45" i="16"/>
  <c r="R33" i="16"/>
  <c r="R34" i="16"/>
  <c r="R104" i="16"/>
  <c r="R102" i="16"/>
  <c r="R98" i="16"/>
  <c r="R93" i="16"/>
  <c r="R95" i="16"/>
  <c r="R90" i="16"/>
  <c r="R107" i="16"/>
  <c r="R105" i="16"/>
  <c r="R99" i="16"/>
  <c r="R94" i="16"/>
  <c r="R100" i="16"/>
  <c r="R103" i="16"/>
  <c r="R108" i="16"/>
  <c r="R91" i="16"/>
  <c r="R127" i="16"/>
  <c r="R101" i="16"/>
  <c r="R106" i="16"/>
  <c r="R96" i="16"/>
  <c r="R97" i="16"/>
  <c r="R92" i="16"/>
  <c r="R136" i="16"/>
  <c r="R132" i="16"/>
  <c r="R128" i="16"/>
  <c r="R123" i="16"/>
  <c r="R119" i="16"/>
  <c r="R115" i="16"/>
  <c r="R111" i="16"/>
  <c r="R88" i="16"/>
  <c r="R84" i="16"/>
  <c r="R80" i="16"/>
  <c r="R76" i="16"/>
  <c r="R72" i="16"/>
  <c r="R68" i="16"/>
  <c r="R64" i="16"/>
  <c r="R56" i="16"/>
  <c r="R52" i="16"/>
  <c r="R42" i="16"/>
  <c r="R138" i="16"/>
  <c r="R130" i="16"/>
  <c r="R125" i="16"/>
  <c r="R117" i="16"/>
  <c r="R109" i="16"/>
  <c r="R82" i="16"/>
  <c r="R74" i="16"/>
  <c r="R66" i="16"/>
  <c r="R137" i="16"/>
  <c r="R129" i="16"/>
  <c r="R124" i="16"/>
  <c r="R120" i="16"/>
  <c r="R116" i="16"/>
  <c r="R89" i="16"/>
  <c r="R81" i="16"/>
  <c r="R73" i="16"/>
  <c r="R65" i="16"/>
  <c r="R57" i="16"/>
  <c r="R139" i="16"/>
  <c r="R135" i="16"/>
  <c r="R131" i="16"/>
  <c r="R126" i="16"/>
  <c r="R122" i="16"/>
  <c r="R118" i="16"/>
  <c r="R114" i="16"/>
  <c r="R110" i="16"/>
  <c r="R87" i="16"/>
  <c r="R83" i="16"/>
  <c r="R79" i="16"/>
  <c r="R75" i="16"/>
  <c r="R71" i="16"/>
  <c r="R67" i="16"/>
  <c r="R63" i="16"/>
  <c r="R134" i="16"/>
  <c r="R121" i="16"/>
  <c r="R113" i="16"/>
  <c r="R86" i="16"/>
  <c r="R78" i="16"/>
  <c r="R70" i="16"/>
  <c r="R62" i="16"/>
  <c r="R54" i="16"/>
  <c r="R133" i="16"/>
  <c r="R112" i="16"/>
  <c r="R85" i="16"/>
  <c r="R77" i="16"/>
  <c r="R69" i="16"/>
  <c r="R61" i="16"/>
  <c r="R45" i="16"/>
  <c r="B27" i="19"/>
  <c r="G107" i="31"/>
  <c r="H107" i="31"/>
  <c r="I107" i="31"/>
  <c r="J107" i="31"/>
  <c r="K107" i="31"/>
  <c r="L107" i="31"/>
  <c r="M107" i="31"/>
  <c r="N107" i="31"/>
  <c r="O107" i="31"/>
  <c r="P107" i="31"/>
  <c r="Q107" i="31"/>
  <c r="R107" i="31"/>
  <c r="S107" i="31"/>
  <c r="T107" i="31"/>
  <c r="U107" i="31"/>
  <c r="V107" i="31"/>
  <c r="W107" i="31"/>
  <c r="X107" i="31"/>
  <c r="Y107" i="31"/>
  <c r="Z107" i="31"/>
  <c r="AA107" i="31"/>
  <c r="AB107" i="31"/>
  <c r="AC107" i="31"/>
  <c r="AD107" i="31"/>
  <c r="AE107" i="31"/>
  <c r="AF107" i="31"/>
  <c r="AG107" i="31"/>
  <c r="F107" i="31"/>
  <c r="E6" i="16"/>
  <c r="N37" i="39"/>
  <c r="L37" i="39" s="1"/>
  <c r="N36" i="39"/>
  <c r="L36" i="39" s="1"/>
  <c r="N33" i="39"/>
  <c r="L33" i="39" s="1"/>
  <c r="N32" i="39"/>
  <c r="L32" i="39" s="1"/>
  <c r="N30" i="39"/>
  <c r="L30" i="39" s="1"/>
  <c r="N29" i="39"/>
  <c r="L29" i="39" s="1"/>
  <c r="N28" i="39"/>
  <c r="L28" i="39" s="1"/>
  <c r="N27" i="39"/>
  <c r="L27" i="39" s="1"/>
  <c r="N17" i="39"/>
  <c r="L17" i="39" s="1"/>
  <c r="N25" i="39"/>
  <c r="L25" i="39" s="1"/>
  <c r="N24" i="39"/>
  <c r="L24" i="39" s="1"/>
  <c r="N21" i="39"/>
  <c r="L21" i="39" s="1"/>
  <c r="N18" i="39"/>
  <c r="L18" i="39" s="1"/>
  <c r="N16" i="39"/>
  <c r="L16" i="39" s="1"/>
  <c r="N20" i="39"/>
  <c r="L20" i="39" s="1"/>
  <c r="N15" i="39"/>
  <c r="L15" i="39" s="1"/>
  <c r="N13" i="39"/>
  <c r="L13" i="39" s="1"/>
  <c r="N12" i="39"/>
  <c r="L12" i="39" s="1"/>
  <c r="J67" i="38"/>
  <c r="D67" i="38"/>
  <c r="R3" i="39"/>
  <c r="Q3" i="39"/>
  <c r="N31" i="39" s="1"/>
  <c r="L31" i="39" s="1"/>
  <c r="V32" i="23"/>
  <c r="K7" i="38"/>
  <c r="K49" i="38" s="1"/>
  <c r="K48" i="38"/>
  <c r="R69" i="38"/>
  <c r="P74" i="38"/>
  <c r="S27" i="38"/>
  <c r="S69" i="38"/>
  <c r="L2" i="38"/>
  <c r="B60" i="38"/>
  <c r="P33" i="38"/>
  <c r="L67" i="38"/>
  <c r="J75" i="38"/>
  <c r="H75" i="38"/>
  <c r="G75" i="38"/>
  <c r="B19" i="38"/>
  <c r="AI321" i="23"/>
  <c r="AI315" i="23"/>
  <c r="AI313" i="23"/>
  <c r="AI303" i="23"/>
  <c r="Q41" i="22" s="1"/>
  <c r="N41" i="22" s="1"/>
  <c r="AI294" i="23"/>
  <c r="Q35" i="22" s="1"/>
  <c r="O35" i="22" s="1"/>
  <c r="AA298" i="23" s="1"/>
  <c r="AI298" i="23" s="1"/>
  <c r="AI281" i="23"/>
  <c r="AI203" i="23"/>
  <c r="AI274" i="23"/>
  <c r="AI272" i="23"/>
  <c r="AI268" i="23"/>
  <c r="Q42" i="22" s="1"/>
  <c r="AI264" i="23"/>
  <c r="AI261" i="23"/>
  <c r="AJ238" i="23"/>
  <c r="AB240" i="23"/>
  <c r="AI240" i="23" s="1"/>
  <c r="AJ231" i="23"/>
  <c r="AK231" i="23" s="1"/>
  <c r="AL231" i="23" s="1"/>
  <c r="AM231" i="23" s="1"/>
  <c r="AN231" i="23" s="1"/>
  <c r="AO231" i="23" s="1"/>
  <c r="AP231" i="23" s="1"/>
  <c r="AQ231" i="23" s="1"/>
  <c r="AR231" i="23" s="1"/>
  <c r="AS231" i="23" s="1"/>
  <c r="AT231" i="23" s="1"/>
  <c r="AU231" i="23" s="1"/>
  <c r="AJ225" i="23"/>
  <c r="AK225" i="23" s="1"/>
  <c r="AL225" i="23" s="1"/>
  <c r="AM225" i="23" s="1"/>
  <c r="AN225" i="23" s="1"/>
  <c r="AO225" i="23" s="1"/>
  <c r="AP225" i="23" s="1"/>
  <c r="AQ225" i="23" s="1"/>
  <c r="AR225" i="23" s="1"/>
  <c r="AS225" i="23" s="1"/>
  <c r="AT225" i="23" s="1"/>
  <c r="AU225" i="23" s="1"/>
  <c r="AI235" i="23"/>
  <c r="AI213" i="23"/>
  <c r="AI193" i="23"/>
  <c r="V41" i="23" s="1"/>
  <c r="AI171" i="23"/>
  <c r="AI169" i="23"/>
  <c r="AI144" i="23"/>
  <c r="AI143" i="23"/>
  <c r="AI141" i="23"/>
  <c r="AI133" i="23"/>
  <c r="AI126" i="23"/>
  <c r="J125" i="23" s="1"/>
  <c r="AJ26" i="23" s="1"/>
  <c r="AI121" i="23"/>
  <c r="AI118" i="23"/>
  <c r="AI108" i="23"/>
  <c r="AI102" i="23"/>
  <c r="Q27" i="22" s="1"/>
  <c r="AI89" i="23"/>
  <c r="Q25" i="22" s="1"/>
  <c r="H90" i="22" s="1"/>
  <c r="AI77" i="23"/>
  <c r="AI76" i="23"/>
  <c r="AI75" i="23"/>
  <c r="AI73" i="23"/>
  <c r="Q23" i="22" s="1"/>
  <c r="W23" i="22" s="1"/>
  <c r="AI14" i="23"/>
  <c r="AI69" i="23"/>
  <c r="J68" i="23" s="1"/>
  <c r="AJ19" i="23" s="1"/>
  <c r="AI64" i="23"/>
  <c r="AI63" i="23"/>
  <c r="AI57" i="23"/>
  <c r="Q16" i="22" s="1"/>
  <c r="N16" i="22" s="1"/>
  <c r="AI61" i="23"/>
  <c r="AI59" i="23"/>
  <c r="AA288" i="23" s="1"/>
  <c r="AI60" i="23"/>
  <c r="AI36" i="23"/>
  <c r="AI40" i="23"/>
  <c r="D26" i="37"/>
  <c r="K5" i="37"/>
  <c r="J15" i="37"/>
  <c r="J16" i="37"/>
  <c r="J17" i="37"/>
  <c r="J18" i="37"/>
  <c r="J19" i="37"/>
  <c r="J20" i="37"/>
  <c r="J21" i="37"/>
  <c r="J22" i="37"/>
  <c r="J23" i="37"/>
  <c r="J24" i="37"/>
  <c r="J25" i="37"/>
  <c r="K6" i="37"/>
  <c r="K14" i="37"/>
  <c r="K15" i="37"/>
  <c r="K16" i="37"/>
  <c r="K17" i="37"/>
  <c r="K18" i="37"/>
  <c r="K19" i="37"/>
  <c r="K20" i="37"/>
  <c r="K21" i="37"/>
  <c r="K22" i="37"/>
  <c r="K23" i="37"/>
  <c r="K24" i="37"/>
  <c r="K25" i="37"/>
  <c r="J5" i="37"/>
  <c r="J6" i="37"/>
  <c r="G4" i="37" s="1"/>
  <c r="BR20" i="35"/>
  <c r="A34" i="35"/>
  <c r="G35" i="35" s="1"/>
  <c r="A44" i="35"/>
  <c r="AF45" i="35" s="1"/>
  <c r="AJ38" i="35"/>
  <c r="AP173" i="23" s="1"/>
  <c r="AJ37" i="35"/>
  <c r="Q152" i="23" s="1"/>
  <c r="Q148" i="23" s="1"/>
  <c r="AJ42" i="35"/>
  <c r="S152" i="23" s="1"/>
  <c r="S148" i="23" s="1"/>
  <c r="AJ43" i="35"/>
  <c r="AQ173" i="23" s="1"/>
  <c r="H8" i="22"/>
  <c r="F10" i="22"/>
  <c r="D10" i="22"/>
  <c r="H230" i="23"/>
  <c r="H224" i="23"/>
  <c r="G10" i="22"/>
  <c r="AB236" i="23" s="1"/>
  <c r="B57" i="24"/>
  <c r="V28" i="23"/>
  <c r="B46" i="31"/>
  <c r="B45" i="31"/>
  <c r="B44" i="31"/>
  <c r="B43" i="31"/>
  <c r="B42" i="31"/>
  <c r="B41" i="31"/>
  <c r="B40" i="31"/>
  <c r="B39" i="31"/>
  <c r="B38" i="31"/>
  <c r="B37" i="31"/>
  <c r="AI244" i="23"/>
  <c r="F3" i="31"/>
  <c r="B38" i="16"/>
  <c r="B36" i="31"/>
  <c r="B35" i="31"/>
  <c r="B34" i="31"/>
  <c r="B33" i="31"/>
  <c r="B32" i="31"/>
  <c r="B31" i="31"/>
  <c r="B30" i="31"/>
  <c r="B29" i="31"/>
  <c r="B28" i="31"/>
  <c r="B27" i="31"/>
  <c r="B25" i="31"/>
  <c r="B24" i="31"/>
  <c r="B23" i="31"/>
  <c r="B22" i="31"/>
  <c r="B21" i="31"/>
  <c r="B20" i="31"/>
  <c r="B19" i="31"/>
  <c r="B18" i="31"/>
  <c r="B17" i="31"/>
  <c r="B16" i="31"/>
  <c r="AO2" i="31"/>
  <c r="J1" i="31" s="1"/>
  <c r="D4" i="32"/>
  <c r="F4" i="32" s="1"/>
  <c r="H4" i="32" s="1"/>
  <c r="J4" i="32" s="1"/>
  <c r="C4" i="32"/>
  <c r="E4" i="32" s="1"/>
  <c r="G4" i="32" s="1"/>
  <c r="I4" i="32" s="1"/>
  <c r="C3" i="32"/>
  <c r="E3" i="32" s="1"/>
  <c r="G3" i="32" s="1"/>
  <c r="I3" i="32" s="1"/>
  <c r="B106" i="31"/>
  <c r="B105" i="31"/>
  <c r="B104" i="31"/>
  <c r="B103" i="31"/>
  <c r="B102" i="31"/>
  <c r="B101" i="31"/>
  <c r="B100" i="31"/>
  <c r="B99" i="31"/>
  <c r="B98" i="31"/>
  <c r="B97" i="31"/>
  <c r="B96" i="31"/>
  <c r="B95" i="31"/>
  <c r="B54" i="31"/>
  <c r="B53" i="31"/>
  <c r="B52" i="31"/>
  <c r="B51" i="31"/>
  <c r="B50" i="31"/>
  <c r="B49" i="31"/>
  <c r="B48" i="31"/>
  <c r="B47" i="31"/>
  <c r="B26" i="31"/>
  <c r="B15" i="31"/>
  <c r="B14" i="31"/>
  <c r="B13" i="31"/>
  <c r="B12" i="31"/>
  <c r="G133" i="16" s="1"/>
  <c r="O133" i="16" s="1"/>
  <c r="B11" i="31"/>
  <c r="B10" i="31"/>
  <c r="B9" i="31"/>
  <c r="B8" i="31"/>
  <c r="B7" i="31"/>
  <c r="G132" i="16" s="1"/>
  <c r="O132" i="16" s="1"/>
  <c r="AH2" i="31"/>
  <c r="E10" i="22"/>
  <c r="H9" i="22"/>
  <c r="AJ235" i="23"/>
  <c r="AA273" i="23"/>
  <c r="AI273" i="23" s="1"/>
  <c r="AM2" i="22"/>
  <c r="V5" i="30"/>
  <c r="V6" i="30"/>
  <c r="V7" i="30"/>
  <c r="V8" i="30"/>
  <c r="V9" i="30"/>
  <c r="V10" i="30"/>
  <c r="V11" i="30"/>
  <c r="V12" i="30"/>
  <c r="V13" i="30"/>
  <c r="V14" i="30"/>
  <c r="V15" i="30"/>
  <c r="V16" i="30"/>
  <c r="V17" i="30"/>
  <c r="V18" i="30"/>
  <c r="V19" i="30"/>
  <c r="V20" i="30"/>
  <c r="V21" i="30"/>
  <c r="V22" i="30"/>
  <c r="V23" i="30"/>
  <c r="V24" i="30"/>
  <c r="V25" i="30"/>
  <c r="V26" i="30"/>
  <c r="V27" i="30"/>
  <c r="V28" i="30"/>
  <c r="V29" i="30"/>
  <c r="V30" i="30"/>
  <c r="V31" i="30"/>
  <c r="V32" i="30"/>
  <c r="V33" i="30"/>
  <c r="V34" i="30"/>
  <c r="V35" i="30"/>
  <c r="V36" i="30"/>
  <c r="V37" i="30"/>
  <c r="V38" i="30"/>
  <c r="V39" i="30"/>
  <c r="V40" i="30"/>
  <c r="V41" i="30"/>
  <c r="V42" i="30"/>
  <c r="V43" i="30"/>
  <c r="V44" i="30"/>
  <c r="V45" i="30"/>
  <c r="V46" i="30"/>
  <c r="V47" i="30"/>
  <c r="V48" i="30"/>
  <c r="V49" i="30"/>
  <c r="V50" i="30"/>
  <c r="V51" i="30"/>
  <c r="V52" i="30"/>
  <c r="V53" i="30"/>
  <c r="V54" i="30"/>
  <c r="V55" i="30"/>
  <c r="V56" i="30"/>
  <c r="V57" i="30"/>
  <c r="V58" i="30"/>
  <c r="V59" i="30"/>
  <c r="V60" i="30"/>
  <c r="V61" i="30"/>
  <c r="V62" i="30"/>
  <c r="V63" i="30"/>
  <c r="V64" i="30"/>
  <c r="V65" i="30"/>
  <c r="V66" i="30"/>
  <c r="V67" i="30"/>
  <c r="V68" i="30"/>
  <c r="V69" i="30"/>
  <c r="V70" i="30"/>
  <c r="V71" i="30"/>
  <c r="V72" i="30"/>
  <c r="V73" i="30"/>
  <c r="V74" i="30"/>
  <c r="V75" i="30"/>
  <c r="V76" i="30"/>
  <c r="V77" i="30"/>
  <c r="V78" i="30"/>
  <c r="V79" i="30"/>
  <c r="V80" i="30"/>
  <c r="V81" i="30"/>
  <c r="V82" i="30"/>
  <c r="V83" i="30"/>
  <c r="V84" i="30"/>
  <c r="V85" i="30"/>
  <c r="V86" i="30"/>
  <c r="V87" i="30"/>
  <c r="V88" i="30"/>
  <c r="V89" i="30"/>
  <c r="V90" i="30"/>
  <c r="V91" i="30"/>
  <c r="V92" i="30"/>
  <c r="V93" i="30"/>
  <c r="V94" i="30"/>
  <c r="V95" i="30"/>
  <c r="V96" i="30"/>
  <c r="V97" i="30"/>
  <c r="V98" i="30"/>
  <c r="V99" i="30"/>
  <c r="V100" i="30"/>
  <c r="V101" i="30"/>
  <c r="V102" i="30"/>
  <c r="V103" i="30"/>
  <c r="V104" i="30"/>
  <c r="V105" i="30"/>
  <c r="V106" i="30"/>
  <c r="V107" i="30"/>
  <c r="V108" i="30"/>
  <c r="V109" i="30"/>
  <c r="V110" i="30"/>
  <c r="V111" i="30"/>
  <c r="V112" i="30"/>
  <c r="V113" i="30"/>
  <c r="V114" i="30"/>
  <c r="V115" i="30"/>
  <c r="V116" i="30"/>
  <c r="V117" i="30"/>
  <c r="V118" i="30"/>
  <c r="V119" i="30"/>
  <c r="V120" i="30"/>
  <c r="V121" i="30"/>
  <c r="V122" i="30"/>
  <c r="V123" i="30"/>
  <c r="V124" i="30"/>
  <c r="V125" i="30"/>
  <c r="V126" i="30"/>
  <c r="V127" i="30"/>
  <c r="V128" i="30"/>
  <c r="V129" i="30"/>
  <c r="V130" i="30"/>
  <c r="V131" i="30"/>
  <c r="V132" i="30"/>
  <c r="V133" i="30"/>
  <c r="V134" i="30"/>
  <c r="V135" i="30"/>
  <c r="V136" i="30"/>
  <c r="V137" i="30"/>
  <c r="V138" i="30"/>
  <c r="V139" i="30"/>
  <c r="V140" i="30"/>
  <c r="V141" i="30"/>
  <c r="V142" i="30"/>
  <c r="V143" i="30"/>
  <c r="V144" i="30"/>
  <c r="V145" i="30"/>
  <c r="V146" i="30"/>
  <c r="V147" i="30"/>
  <c r="V148" i="30"/>
  <c r="V149" i="30"/>
  <c r="V150" i="30"/>
  <c r="V151" i="30"/>
  <c r="V152" i="30"/>
  <c r="V153" i="30"/>
  <c r="V154" i="30"/>
  <c r="V155" i="30"/>
  <c r="V156" i="30"/>
  <c r="V157" i="30"/>
  <c r="V158" i="30"/>
  <c r="V159" i="30"/>
  <c r="V160" i="30"/>
  <c r="V161" i="30"/>
  <c r="V162" i="30"/>
  <c r="V163" i="30"/>
  <c r="V164" i="30"/>
  <c r="V165" i="30"/>
  <c r="V166" i="30"/>
  <c r="V167" i="30"/>
  <c r="V168" i="30"/>
  <c r="V169" i="30"/>
  <c r="V170" i="30"/>
  <c r="V171" i="30"/>
  <c r="V172" i="30"/>
  <c r="V173" i="30"/>
  <c r="V174" i="30"/>
  <c r="V175" i="30"/>
  <c r="V176" i="30"/>
  <c r="V177" i="30"/>
  <c r="V178" i="30"/>
  <c r="V179" i="30"/>
  <c r="V180" i="30"/>
  <c r="V181" i="30"/>
  <c r="V182" i="30"/>
  <c r="V183" i="30"/>
  <c r="V184" i="30"/>
  <c r="V185" i="30"/>
  <c r="V186" i="30"/>
  <c r="V187" i="30"/>
  <c r="V188" i="30"/>
  <c r="V189" i="30"/>
  <c r="V190" i="30"/>
  <c r="V191" i="30"/>
  <c r="V192" i="30"/>
  <c r="V193" i="30"/>
  <c r="V194" i="30"/>
  <c r="V195" i="30"/>
  <c r="V196" i="30"/>
  <c r="V197" i="30"/>
  <c r="V198" i="30"/>
  <c r="V199" i="30"/>
  <c r="V200" i="30"/>
  <c r="V201" i="30"/>
  <c r="V202" i="30"/>
  <c r="V203" i="30"/>
  <c r="V204" i="30"/>
  <c r="V205" i="30"/>
  <c r="V206" i="30"/>
  <c r="V207" i="30"/>
  <c r="V208" i="30"/>
  <c r="V209" i="30"/>
  <c r="V210" i="30"/>
  <c r="V211" i="30"/>
  <c r="V212" i="30"/>
  <c r="V213" i="30"/>
  <c r="V214" i="30"/>
  <c r="V215" i="30"/>
  <c r="V216" i="30"/>
  <c r="V217" i="30"/>
  <c r="V218" i="30"/>
  <c r="V219" i="30"/>
  <c r="V220" i="30"/>
  <c r="V221" i="30"/>
  <c r="V222" i="30"/>
  <c r="V223" i="30"/>
  <c r="V224" i="30"/>
  <c r="V225" i="30"/>
  <c r="V226" i="30"/>
  <c r="V227" i="30"/>
  <c r="V228" i="30"/>
  <c r="V229" i="30"/>
  <c r="V230" i="30"/>
  <c r="V231" i="30"/>
  <c r="V232" i="30"/>
  <c r="V233" i="30"/>
  <c r="V234" i="30"/>
  <c r="V235" i="30"/>
  <c r="V236" i="30"/>
  <c r="V237" i="30"/>
  <c r="V238" i="30"/>
  <c r="V239" i="30"/>
  <c r="V240" i="30"/>
  <c r="V241" i="30"/>
  <c r="V242" i="30"/>
  <c r="V243" i="30"/>
  <c r="V244" i="30"/>
  <c r="V245" i="30"/>
  <c r="V246" i="30"/>
  <c r="V247" i="30"/>
  <c r="V248" i="30"/>
  <c r="V249" i="30"/>
  <c r="V250" i="30"/>
  <c r="V251" i="30"/>
  <c r="V252" i="30"/>
  <c r="V253" i="30"/>
  <c r="V254" i="30"/>
  <c r="V255" i="30"/>
  <c r="V256" i="30"/>
  <c r="V257" i="30"/>
  <c r="V258" i="30"/>
  <c r="V259" i="30"/>
  <c r="V260" i="30"/>
  <c r="V261" i="30"/>
  <c r="V262" i="30"/>
  <c r="V263" i="30"/>
  <c r="V264" i="30"/>
  <c r="V265" i="30"/>
  <c r="V266" i="30"/>
  <c r="V267" i="30"/>
  <c r="V268" i="30"/>
  <c r="V269" i="30"/>
  <c r="V270" i="30"/>
  <c r="V271" i="30"/>
  <c r="V272" i="30"/>
  <c r="V273" i="30"/>
  <c r="V274" i="30"/>
  <c r="V275" i="30"/>
  <c r="V276" i="30"/>
  <c r="V277" i="30"/>
  <c r="V278" i="30"/>
  <c r="V279" i="30"/>
  <c r="V280" i="30"/>
  <c r="V281" i="30"/>
  <c r="V282" i="30"/>
  <c r="V283" i="30"/>
  <c r="V284" i="30"/>
  <c r="V285" i="30"/>
  <c r="V286" i="30"/>
  <c r="V287" i="30"/>
  <c r="V288" i="30"/>
  <c r="V289" i="30"/>
  <c r="V290" i="30"/>
  <c r="V291" i="30"/>
  <c r="V292" i="30"/>
  <c r="V293" i="30"/>
  <c r="V294" i="30"/>
  <c r="V295" i="30"/>
  <c r="V296" i="30"/>
  <c r="V297" i="30"/>
  <c r="V298" i="30"/>
  <c r="V299" i="30"/>
  <c r="V300" i="30"/>
  <c r="V301" i="30"/>
  <c r="V302" i="30"/>
  <c r="V303" i="30"/>
  <c r="V304" i="30"/>
  <c r="V305" i="30"/>
  <c r="V306" i="30"/>
  <c r="V307" i="30"/>
  <c r="V308" i="30"/>
  <c r="V309" i="30"/>
  <c r="V310" i="30"/>
  <c r="V311" i="30"/>
  <c r="V312" i="30"/>
  <c r="V313" i="30"/>
  <c r="V314" i="30"/>
  <c r="V315" i="30"/>
  <c r="V316" i="30"/>
  <c r="V317" i="30"/>
  <c r="V318" i="30"/>
  <c r="V319" i="30"/>
  <c r="V320" i="30"/>
  <c r="V321" i="30"/>
  <c r="V322" i="30"/>
  <c r="V323" i="30"/>
  <c r="V324" i="30"/>
  <c r="V325" i="30"/>
  <c r="V326" i="30"/>
  <c r="V327" i="30"/>
  <c r="V328" i="30"/>
  <c r="V329" i="30"/>
  <c r="V330" i="30"/>
  <c r="V331" i="30"/>
  <c r="V332" i="30"/>
  <c r="V333" i="30"/>
  <c r="V334" i="30"/>
  <c r="V335" i="30"/>
  <c r="V336" i="30"/>
  <c r="V337" i="30"/>
  <c r="V338" i="30"/>
  <c r="V339" i="30"/>
  <c r="V340" i="30"/>
  <c r="V341" i="30"/>
  <c r="V342" i="30"/>
  <c r="V343" i="30"/>
  <c r="V344" i="30"/>
  <c r="V345" i="30"/>
  <c r="V346" i="30"/>
  <c r="V347" i="30"/>
  <c r="V348" i="30"/>
  <c r="V349" i="30"/>
  <c r="V350" i="30"/>
  <c r="V351" i="30"/>
  <c r="V352" i="30"/>
  <c r="V353" i="30"/>
  <c r="V354" i="30"/>
  <c r="V355" i="30"/>
  <c r="V356" i="30"/>
  <c r="V357" i="30"/>
  <c r="V358" i="30"/>
  <c r="V359" i="30"/>
  <c r="V360" i="30"/>
  <c r="V361" i="30"/>
  <c r="V362" i="30"/>
  <c r="V363" i="30"/>
  <c r="V364" i="30"/>
  <c r="V365" i="30"/>
  <c r="V366" i="30"/>
  <c r="V367" i="30"/>
  <c r="V368" i="30"/>
  <c r="V369" i="30"/>
  <c r="V370" i="30"/>
  <c r="V371" i="30"/>
  <c r="V372" i="30"/>
  <c r="V373" i="30"/>
  <c r="V374" i="30"/>
  <c r="V375" i="30"/>
  <c r="V376" i="30"/>
  <c r="V377" i="30"/>
  <c r="V378" i="30"/>
  <c r="V379" i="30"/>
  <c r="V380" i="30"/>
  <c r="V381" i="30"/>
  <c r="V382" i="30"/>
  <c r="V383" i="30"/>
  <c r="V384" i="30"/>
  <c r="V385" i="30"/>
  <c r="V386" i="30"/>
  <c r="V387" i="30"/>
  <c r="V388" i="30"/>
  <c r="V389" i="30"/>
  <c r="V390" i="30"/>
  <c r="V391" i="30"/>
  <c r="V392" i="30"/>
  <c r="V393" i="30"/>
  <c r="V394" i="30"/>
  <c r="V395" i="30"/>
  <c r="V396" i="30"/>
  <c r="V397" i="30"/>
  <c r="V398" i="30"/>
  <c r="V399" i="30"/>
  <c r="V400" i="30"/>
  <c r="V401" i="30"/>
  <c r="V402" i="30"/>
  <c r="V403" i="30"/>
  <c r="V404" i="30"/>
  <c r="V405" i="30"/>
  <c r="V406" i="30"/>
  <c r="V407" i="30"/>
  <c r="V408" i="30"/>
  <c r="V409" i="30"/>
  <c r="V410" i="30"/>
  <c r="V411" i="30"/>
  <c r="V412" i="30"/>
  <c r="V413" i="30"/>
  <c r="V414" i="30"/>
  <c r="V415" i="30"/>
  <c r="V416" i="30"/>
  <c r="V417" i="30"/>
  <c r="V418" i="30"/>
  <c r="V419" i="30"/>
  <c r="V420" i="30"/>
  <c r="V421" i="30"/>
  <c r="V422" i="30"/>
  <c r="V423" i="30"/>
  <c r="V424" i="30"/>
  <c r="V425" i="30"/>
  <c r="V426" i="30"/>
  <c r="V427" i="30"/>
  <c r="V428" i="30"/>
  <c r="V429" i="30"/>
  <c r="V430" i="30"/>
  <c r="V431" i="30"/>
  <c r="V432" i="30"/>
  <c r="V433" i="30"/>
  <c r="V434" i="30"/>
  <c r="V435" i="30"/>
  <c r="V436" i="30"/>
  <c r="V437" i="30"/>
  <c r="V438" i="30"/>
  <c r="V439" i="30"/>
  <c r="V440" i="30"/>
  <c r="V441" i="30"/>
  <c r="V442" i="30"/>
  <c r="V443" i="30"/>
  <c r="V444" i="30"/>
  <c r="V445" i="30"/>
  <c r="V446" i="30"/>
  <c r="V447" i="30"/>
  <c r="V448" i="30"/>
  <c r="V449" i="30"/>
  <c r="V450" i="30"/>
  <c r="V451" i="30"/>
  <c r="V452" i="30"/>
  <c r="V453" i="30"/>
  <c r="V454" i="30"/>
  <c r="V455" i="30"/>
  <c r="V456" i="30"/>
  <c r="V457" i="30"/>
  <c r="V458" i="30"/>
  <c r="V459" i="30"/>
  <c r="V460" i="30"/>
  <c r="V461" i="30"/>
  <c r="V462" i="30"/>
  <c r="V463" i="30"/>
  <c r="V464" i="30"/>
  <c r="V465" i="30"/>
  <c r="V466" i="30"/>
  <c r="V467" i="30"/>
  <c r="V468" i="30"/>
  <c r="V469" i="30"/>
  <c r="V470" i="30"/>
  <c r="V471" i="30"/>
  <c r="V472" i="30"/>
  <c r="V473" i="30"/>
  <c r="V474" i="30"/>
  <c r="V475" i="30"/>
  <c r="V476" i="30"/>
  <c r="V477" i="30"/>
  <c r="V478" i="30"/>
  <c r="V479" i="30"/>
  <c r="V480" i="30"/>
  <c r="V481" i="30"/>
  <c r="V482" i="30"/>
  <c r="V483" i="30"/>
  <c r="V484" i="30"/>
  <c r="V485" i="30"/>
  <c r="V486" i="30"/>
  <c r="V487" i="30"/>
  <c r="V488" i="30"/>
  <c r="V489" i="30"/>
  <c r="V490" i="30"/>
  <c r="V491" i="30"/>
  <c r="V492" i="30"/>
  <c r="V493" i="30"/>
  <c r="V494" i="30"/>
  <c r="V495" i="30"/>
  <c r="V496" i="30"/>
  <c r="V497" i="30"/>
  <c r="V498" i="30"/>
  <c r="V499" i="30"/>
  <c r="V500" i="30"/>
  <c r="V501" i="30"/>
  <c r="V502" i="30"/>
  <c r="V503" i="30"/>
  <c r="V504" i="30"/>
  <c r="V505" i="30"/>
  <c r="V506" i="30"/>
  <c r="V507" i="30"/>
  <c r="V508" i="30"/>
  <c r="V509" i="30"/>
  <c r="V510" i="30"/>
  <c r="V511" i="30"/>
  <c r="V512" i="30"/>
  <c r="V513" i="30"/>
  <c r="V514" i="30"/>
  <c r="V515" i="30"/>
  <c r="V516" i="30"/>
  <c r="V517" i="30"/>
  <c r="V518" i="30"/>
  <c r="V519" i="30"/>
  <c r="V520" i="30"/>
  <c r="V521" i="30"/>
  <c r="V522" i="30"/>
  <c r="V523" i="30"/>
  <c r="V524" i="30"/>
  <c r="V525" i="30"/>
  <c r="V526" i="30"/>
  <c r="V527" i="30"/>
  <c r="V528" i="30"/>
  <c r="V529" i="30"/>
  <c r="V530" i="30"/>
  <c r="V531" i="30"/>
  <c r="V532" i="30"/>
  <c r="V533" i="30"/>
  <c r="V534" i="30"/>
  <c r="V535" i="30"/>
  <c r="V536" i="30"/>
  <c r="V537" i="30"/>
  <c r="V538" i="30"/>
  <c r="V539" i="30"/>
  <c r="V540" i="30"/>
  <c r="V541" i="30"/>
  <c r="V542" i="30"/>
  <c r="V543" i="30"/>
  <c r="V544" i="30"/>
  <c r="V545" i="30"/>
  <c r="V546" i="30"/>
  <c r="V547" i="30"/>
  <c r="V548" i="30"/>
  <c r="V549" i="30"/>
  <c r="V550" i="30"/>
  <c r="V551" i="30"/>
  <c r="V552" i="30"/>
  <c r="V553" i="30"/>
  <c r="V554" i="30"/>
  <c r="V555" i="30"/>
  <c r="V556" i="30"/>
  <c r="V557" i="30"/>
  <c r="V558" i="30"/>
  <c r="V559" i="30"/>
  <c r="V560" i="30"/>
  <c r="V561" i="30"/>
  <c r="V562" i="30"/>
  <c r="V563" i="30"/>
  <c r="V564" i="30"/>
  <c r="V565" i="30"/>
  <c r="V566" i="30"/>
  <c r="V567" i="30"/>
  <c r="V568" i="30"/>
  <c r="V569" i="30"/>
  <c r="V570" i="30"/>
  <c r="V571" i="30"/>
  <c r="V572" i="30"/>
  <c r="V573" i="30"/>
  <c r="V574" i="30"/>
  <c r="V575" i="30"/>
  <c r="V576" i="30"/>
  <c r="V577" i="30"/>
  <c r="V578" i="30"/>
  <c r="V579" i="30"/>
  <c r="V580" i="30"/>
  <c r="V581" i="30"/>
  <c r="V582" i="30"/>
  <c r="V583" i="30"/>
  <c r="V584" i="30"/>
  <c r="V585" i="30"/>
  <c r="V586" i="30"/>
  <c r="V587" i="30"/>
  <c r="V588" i="30"/>
  <c r="V589" i="30"/>
  <c r="V590" i="30"/>
  <c r="V591" i="30"/>
  <c r="V592" i="30"/>
  <c r="V593" i="30"/>
  <c r="V594" i="30"/>
  <c r="V595" i="30"/>
  <c r="V596" i="30"/>
  <c r="V597" i="30"/>
  <c r="V598" i="30"/>
  <c r="V599" i="30"/>
  <c r="V600" i="30"/>
  <c r="V4" i="30"/>
  <c r="N601" i="30"/>
  <c r="M601" i="30"/>
  <c r="L601" i="30"/>
  <c r="K601" i="30"/>
  <c r="I601" i="30"/>
  <c r="H601" i="30"/>
  <c r="G601" i="30"/>
  <c r="F601" i="30"/>
  <c r="W600" i="30"/>
  <c r="S600" i="30"/>
  <c r="W599" i="30"/>
  <c r="S599" i="30"/>
  <c r="W598" i="30"/>
  <c r="S598" i="30"/>
  <c r="W597" i="30"/>
  <c r="S597" i="30"/>
  <c r="W596" i="30"/>
  <c r="S596" i="30"/>
  <c r="W595" i="30"/>
  <c r="S595" i="30"/>
  <c r="W594" i="30"/>
  <c r="S594" i="30"/>
  <c r="W593" i="30"/>
  <c r="S593" i="30"/>
  <c r="W592" i="30"/>
  <c r="S592" i="30"/>
  <c r="W591" i="30"/>
  <c r="S591" i="30"/>
  <c r="W590" i="30"/>
  <c r="S590" i="30"/>
  <c r="W589" i="30"/>
  <c r="S589" i="30"/>
  <c r="W588" i="30"/>
  <c r="S588" i="30"/>
  <c r="W587" i="30"/>
  <c r="S587" i="30"/>
  <c r="W586" i="30"/>
  <c r="S586" i="30"/>
  <c r="W585" i="30"/>
  <c r="S585" i="30"/>
  <c r="W584" i="30"/>
  <c r="S584" i="30"/>
  <c r="W583" i="30"/>
  <c r="S583" i="30"/>
  <c r="W582" i="30"/>
  <c r="S582" i="30"/>
  <c r="W581" i="30"/>
  <c r="S581" i="30"/>
  <c r="W580" i="30"/>
  <c r="S580" i="30"/>
  <c r="W579" i="30"/>
  <c r="S579" i="30"/>
  <c r="W578" i="30"/>
  <c r="S578" i="30"/>
  <c r="W577" i="30"/>
  <c r="S577" i="30"/>
  <c r="W576" i="30"/>
  <c r="S576" i="30"/>
  <c r="W575" i="30"/>
  <c r="S575" i="30"/>
  <c r="W574" i="30"/>
  <c r="S574" i="30"/>
  <c r="W573" i="30"/>
  <c r="S573" i="30"/>
  <c r="W572" i="30"/>
  <c r="S572" i="30"/>
  <c r="W571" i="30"/>
  <c r="S571" i="30"/>
  <c r="W570" i="30"/>
  <c r="S570" i="30"/>
  <c r="W569" i="30"/>
  <c r="S569" i="30"/>
  <c r="W568" i="30"/>
  <c r="S568" i="30"/>
  <c r="W567" i="30"/>
  <c r="S567" i="30"/>
  <c r="W566" i="30"/>
  <c r="S566" i="30"/>
  <c r="W565" i="30"/>
  <c r="S565" i="30"/>
  <c r="W564" i="30"/>
  <c r="S564" i="30"/>
  <c r="W563" i="30"/>
  <c r="S563" i="30"/>
  <c r="W562" i="30"/>
  <c r="S562" i="30"/>
  <c r="W561" i="30"/>
  <c r="S561" i="30"/>
  <c r="W560" i="30"/>
  <c r="S560" i="30"/>
  <c r="W559" i="30"/>
  <c r="S559" i="30"/>
  <c r="W558" i="30"/>
  <c r="S558" i="30"/>
  <c r="W557" i="30"/>
  <c r="S557" i="30"/>
  <c r="W556" i="30"/>
  <c r="S556" i="30"/>
  <c r="W555" i="30"/>
  <c r="S555" i="30"/>
  <c r="W554" i="30"/>
  <c r="S554" i="30"/>
  <c r="W553" i="30"/>
  <c r="S553" i="30"/>
  <c r="W552" i="30"/>
  <c r="S552" i="30"/>
  <c r="W551" i="30"/>
  <c r="S551" i="30"/>
  <c r="W550" i="30"/>
  <c r="S550" i="30"/>
  <c r="W549" i="30"/>
  <c r="S549" i="30"/>
  <c r="W548" i="30"/>
  <c r="S548" i="30"/>
  <c r="W547" i="30"/>
  <c r="S547" i="30"/>
  <c r="W546" i="30"/>
  <c r="S546" i="30"/>
  <c r="W545" i="30"/>
  <c r="S545" i="30"/>
  <c r="W544" i="30"/>
  <c r="S544" i="30"/>
  <c r="W543" i="30"/>
  <c r="S543" i="30"/>
  <c r="W542" i="30"/>
  <c r="S542" i="30"/>
  <c r="W541" i="30"/>
  <c r="S541" i="30"/>
  <c r="W540" i="30"/>
  <c r="S540" i="30"/>
  <c r="W539" i="30"/>
  <c r="S539" i="30"/>
  <c r="W538" i="30"/>
  <c r="S538" i="30"/>
  <c r="W537" i="30"/>
  <c r="S537" i="30"/>
  <c r="W536" i="30"/>
  <c r="S536" i="30"/>
  <c r="W535" i="30"/>
  <c r="S535" i="30"/>
  <c r="W534" i="30"/>
  <c r="S534" i="30"/>
  <c r="W533" i="30"/>
  <c r="S533" i="30"/>
  <c r="W532" i="30"/>
  <c r="S532" i="30"/>
  <c r="W531" i="30"/>
  <c r="S531" i="30"/>
  <c r="W530" i="30"/>
  <c r="S530" i="30"/>
  <c r="W529" i="30"/>
  <c r="S529" i="30"/>
  <c r="W528" i="30"/>
  <c r="S528" i="30"/>
  <c r="W527" i="30"/>
  <c r="S527" i="30"/>
  <c r="W526" i="30"/>
  <c r="S526" i="30"/>
  <c r="W525" i="30"/>
  <c r="S525" i="30"/>
  <c r="W524" i="30"/>
  <c r="S524" i="30"/>
  <c r="W523" i="30"/>
  <c r="S523" i="30"/>
  <c r="W522" i="30"/>
  <c r="S522" i="30"/>
  <c r="W521" i="30"/>
  <c r="S521" i="30"/>
  <c r="W520" i="30"/>
  <c r="S520" i="30"/>
  <c r="W519" i="30"/>
  <c r="S519" i="30"/>
  <c r="W518" i="30"/>
  <c r="S518" i="30"/>
  <c r="W517" i="30"/>
  <c r="S517" i="30"/>
  <c r="W516" i="30"/>
  <c r="S516" i="30"/>
  <c r="W515" i="30"/>
  <c r="S515" i="30"/>
  <c r="W514" i="30"/>
  <c r="S514" i="30"/>
  <c r="W513" i="30"/>
  <c r="S513" i="30"/>
  <c r="W512" i="30"/>
  <c r="S512" i="30"/>
  <c r="W511" i="30"/>
  <c r="S511" i="30"/>
  <c r="W510" i="30"/>
  <c r="S510" i="30"/>
  <c r="W509" i="30"/>
  <c r="S509" i="30"/>
  <c r="W508" i="30"/>
  <c r="S508" i="30"/>
  <c r="W507" i="30"/>
  <c r="S507" i="30"/>
  <c r="W506" i="30"/>
  <c r="S506" i="30"/>
  <c r="W505" i="30"/>
  <c r="S505" i="30"/>
  <c r="W504" i="30"/>
  <c r="S504" i="30"/>
  <c r="W503" i="30"/>
  <c r="S503" i="30"/>
  <c r="W502" i="30"/>
  <c r="S502" i="30"/>
  <c r="W501" i="30"/>
  <c r="S501" i="30"/>
  <c r="W500" i="30"/>
  <c r="S500" i="30"/>
  <c r="W499" i="30"/>
  <c r="S499" i="30"/>
  <c r="W498" i="30"/>
  <c r="S498" i="30"/>
  <c r="W497" i="30"/>
  <c r="S497" i="30"/>
  <c r="W496" i="30"/>
  <c r="S496" i="30"/>
  <c r="W495" i="30"/>
  <c r="S495" i="30"/>
  <c r="W494" i="30"/>
  <c r="S494" i="30"/>
  <c r="W493" i="30"/>
  <c r="S493" i="30"/>
  <c r="W492" i="30"/>
  <c r="S492" i="30"/>
  <c r="W491" i="30"/>
  <c r="S491" i="30"/>
  <c r="W490" i="30"/>
  <c r="S490" i="30"/>
  <c r="W489" i="30"/>
  <c r="S489" i="30"/>
  <c r="W488" i="30"/>
  <c r="S488" i="30"/>
  <c r="W487" i="30"/>
  <c r="S487" i="30"/>
  <c r="W486" i="30"/>
  <c r="S486" i="30"/>
  <c r="W485" i="30"/>
  <c r="S485" i="30"/>
  <c r="W484" i="30"/>
  <c r="S484" i="30"/>
  <c r="W483" i="30"/>
  <c r="S483" i="30"/>
  <c r="W482" i="30"/>
  <c r="S482" i="30"/>
  <c r="W481" i="30"/>
  <c r="S481" i="30"/>
  <c r="W480" i="30"/>
  <c r="S480" i="30"/>
  <c r="W479" i="30"/>
  <c r="S479" i="30"/>
  <c r="W478" i="30"/>
  <c r="S478" i="30"/>
  <c r="W477" i="30"/>
  <c r="S477" i="30"/>
  <c r="W476" i="30"/>
  <c r="S476" i="30"/>
  <c r="W475" i="30"/>
  <c r="S475" i="30"/>
  <c r="W474" i="30"/>
  <c r="S474" i="30"/>
  <c r="W473" i="30"/>
  <c r="S473" i="30"/>
  <c r="W472" i="30"/>
  <c r="S472" i="30"/>
  <c r="W471" i="30"/>
  <c r="S471" i="30"/>
  <c r="W470" i="30"/>
  <c r="S470" i="30"/>
  <c r="W469" i="30"/>
  <c r="S469" i="30"/>
  <c r="W468" i="30"/>
  <c r="S468" i="30"/>
  <c r="W467" i="30"/>
  <c r="S467" i="30"/>
  <c r="W466" i="30"/>
  <c r="S466" i="30"/>
  <c r="W465" i="30"/>
  <c r="S465" i="30"/>
  <c r="W464" i="30"/>
  <c r="S464" i="30"/>
  <c r="W463" i="30"/>
  <c r="S463" i="30"/>
  <c r="W462" i="30"/>
  <c r="S462" i="30"/>
  <c r="W461" i="30"/>
  <c r="S461" i="30"/>
  <c r="W460" i="30"/>
  <c r="S460" i="30"/>
  <c r="W459" i="30"/>
  <c r="S459" i="30"/>
  <c r="W458" i="30"/>
  <c r="S458" i="30"/>
  <c r="W457" i="30"/>
  <c r="S457" i="30"/>
  <c r="W456" i="30"/>
  <c r="S456" i="30"/>
  <c r="W455" i="30"/>
  <c r="S455" i="30"/>
  <c r="W454" i="30"/>
  <c r="S454" i="30"/>
  <c r="W453" i="30"/>
  <c r="S453" i="30"/>
  <c r="W452" i="30"/>
  <c r="S452" i="30"/>
  <c r="W451" i="30"/>
  <c r="S451" i="30"/>
  <c r="W450" i="30"/>
  <c r="S450" i="30"/>
  <c r="W449" i="30"/>
  <c r="S449" i="30"/>
  <c r="W448" i="30"/>
  <c r="S448" i="30"/>
  <c r="W447" i="30"/>
  <c r="S447" i="30"/>
  <c r="W446" i="30"/>
  <c r="S446" i="30"/>
  <c r="W445" i="30"/>
  <c r="S445" i="30"/>
  <c r="W444" i="30"/>
  <c r="S444" i="30"/>
  <c r="W443" i="30"/>
  <c r="S443" i="30"/>
  <c r="W442" i="30"/>
  <c r="S442" i="30"/>
  <c r="W441" i="30"/>
  <c r="S441" i="30"/>
  <c r="W440" i="30"/>
  <c r="S440" i="30"/>
  <c r="W439" i="30"/>
  <c r="S439" i="30"/>
  <c r="W438" i="30"/>
  <c r="S438" i="30"/>
  <c r="W437" i="30"/>
  <c r="S437" i="30"/>
  <c r="W436" i="30"/>
  <c r="S436" i="30"/>
  <c r="W435" i="30"/>
  <c r="S435" i="30"/>
  <c r="W434" i="30"/>
  <c r="S434" i="30"/>
  <c r="W433" i="30"/>
  <c r="S433" i="30"/>
  <c r="W432" i="30"/>
  <c r="S432" i="30"/>
  <c r="W431" i="30"/>
  <c r="S431" i="30"/>
  <c r="W430" i="30"/>
  <c r="S430" i="30"/>
  <c r="W429" i="30"/>
  <c r="S429" i="30"/>
  <c r="W428" i="30"/>
  <c r="S428" i="30"/>
  <c r="W427" i="30"/>
  <c r="S427" i="30"/>
  <c r="W426" i="30"/>
  <c r="S426" i="30"/>
  <c r="W425" i="30"/>
  <c r="S425" i="30"/>
  <c r="W424" i="30"/>
  <c r="S424" i="30"/>
  <c r="W423" i="30"/>
  <c r="S423" i="30"/>
  <c r="W422" i="30"/>
  <c r="S422" i="30"/>
  <c r="W421" i="30"/>
  <c r="S421" i="30"/>
  <c r="W420" i="30"/>
  <c r="S420" i="30"/>
  <c r="W419" i="30"/>
  <c r="S419" i="30"/>
  <c r="W418" i="30"/>
  <c r="S418" i="30"/>
  <c r="W417" i="30"/>
  <c r="S417" i="30"/>
  <c r="W416" i="30"/>
  <c r="S416" i="30"/>
  <c r="W415" i="30"/>
  <c r="S415" i="30"/>
  <c r="W414" i="30"/>
  <c r="S414" i="30"/>
  <c r="W413" i="30"/>
  <c r="S413" i="30"/>
  <c r="W412" i="30"/>
  <c r="S412" i="30"/>
  <c r="W411" i="30"/>
  <c r="S411" i="30"/>
  <c r="W410" i="30"/>
  <c r="S410" i="30"/>
  <c r="W409" i="30"/>
  <c r="S409" i="30"/>
  <c r="W408" i="30"/>
  <c r="S408" i="30"/>
  <c r="W407" i="30"/>
  <c r="S407" i="30"/>
  <c r="W406" i="30"/>
  <c r="S406" i="30"/>
  <c r="W405" i="30"/>
  <c r="S405" i="30"/>
  <c r="W404" i="30"/>
  <c r="S404" i="30"/>
  <c r="W403" i="30"/>
  <c r="S403" i="30"/>
  <c r="W402" i="30"/>
  <c r="S402" i="30"/>
  <c r="W401" i="30"/>
  <c r="S401" i="30"/>
  <c r="W400" i="30"/>
  <c r="S400" i="30"/>
  <c r="W399" i="30"/>
  <c r="S399" i="30"/>
  <c r="W398" i="30"/>
  <c r="S398" i="30"/>
  <c r="W397" i="30"/>
  <c r="S397" i="30"/>
  <c r="W396" i="30"/>
  <c r="S396" i="30"/>
  <c r="W395" i="30"/>
  <c r="S395" i="30"/>
  <c r="W394" i="30"/>
  <c r="S394" i="30"/>
  <c r="W393" i="30"/>
  <c r="S393" i="30"/>
  <c r="W392" i="30"/>
  <c r="S392" i="30"/>
  <c r="W391" i="30"/>
  <c r="S391" i="30"/>
  <c r="W390" i="30"/>
  <c r="S390" i="30"/>
  <c r="W389" i="30"/>
  <c r="S389" i="30"/>
  <c r="W388" i="30"/>
  <c r="S388" i="30"/>
  <c r="W387" i="30"/>
  <c r="S387" i="30"/>
  <c r="W386" i="30"/>
  <c r="S386" i="30"/>
  <c r="W385" i="30"/>
  <c r="S385" i="30"/>
  <c r="W384" i="30"/>
  <c r="S384" i="30"/>
  <c r="W383" i="30"/>
  <c r="S383" i="30"/>
  <c r="W382" i="30"/>
  <c r="S382" i="30"/>
  <c r="W381" i="30"/>
  <c r="S381" i="30"/>
  <c r="W380" i="30"/>
  <c r="S380" i="30"/>
  <c r="W379" i="30"/>
  <c r="S379" i="30"/>
  <c r="W378" i="30"/>
  <c r="S378" i="30"/>
  <c r="W377" i="30"/>
  <c r="S377" i="30"/>
  <c r="W376" i="30"/>
  <c r="S376" i="30"/>
  <c r="W375" i="30"/>
  <c r="S375" i="30"/>
  <c r="W374" i="30"/>
  <c r="S374" i="30"/>
  <c r="W373" i="30"/>
  <c r="S373" i="30"/>
  <c r="W372" i="30"/>
  <c r="S372" i="30"/>
  <c r="W371" i="30"/>
  <c r="S371" i="30"/>
  <c r="W370" i="30"/>
  <c r="S370" i="30"/>
  <c r="W369" i="30"/>
  <c r="S369" i="30"/>
  <c r="W368" i="30"/>
  <c r="S368" i="30"/>
  <c r="W367" i="30"/>
  <c r="S367" i="30"/>
  <c r="W366" i="30"/>
  <c r="S366" i="30"/>
  <c r="W365" i="30"/>
  <c r="S365" i="30"/>
  <c r="W364" i="30"/>
  <c r="S364" i="30"/>
  <c r="W363" i="30"/>
  <c r="S363" i="30"/>
  <c r="W362" i="30"/>
  <c r="S362" i="30"/>
  <c r="W361" i="30"/>
  <c r="S361" i="30"/>
  <c r="W360" i="30"/>
  <c r="S360" i="30"/>
  <c r="W359" i="30"/>
  <c r="S359" i="30"/>
  <c r="W358" i="30"/>
  <c r="S358" i="30"/>
  <c r="W357" i="30"/>
  <c r="S357" i="30"/>
  <c r="W356" i="30"/>
  <c r="S356" i="30"/>
  <c r="W355" i="30"/>
  <c r="S355" i="30"/>
  <c r="W354" i="30"/>
  <c r="S354" i="30"/>
  <c r="W353" i="30"/>
  <c r="S353" i="30"/>
  <c r="W352" i="30"/>
  <c r="S352" i="30"/>
  <c r="W351" i="30"/>
  <c r="S351" i="30"/>
  <c r="W350" i="30"/>
  <c r="S350" i="30"/>
  <c r="W349" i="30"/>
  <c r="S349" i="30"/>
  <c r="W348" i="30"/>
  <c r="S348" i="30"/>
  <c r="W347" i="30"/>
  <c r="S347" i="30"/>
  <c r="W346" i="30"/>
  <c r="S346" i="30"/>
  <c r="W345" i="30"/>
  <c r="S345" i="30"/>
  <c r="W344" i="30"/>
  <c r="S344" i="30"/>
  <c r="W343" i="30"/>
  <c r="S343" i="30"/>
  <c r="W342" i="30"/>
  <c r="S342" i="30"/>
  <c r="W341" i="30"/>
  <c r="S341" i="30"/>
  <c r="W340" i="30"/>
  <c r="S340" i="30"/>
  <c r="W339" i="30"/>
  <c r="S339" i="30"/>
  <c r="W338" i="30"/>
  <c r="S338" i="30"/>
  <c r="W337" i="30"/>
  <c r="S337" i="30"/>
  <c r="W336" i="30"/>
  <c r="S336" i="30"/>
  <c r="W335" i="30"/>
  <c r="S335" i="30"/>
  <c r="W334" i="30"/>
  <c r="S334" i="30"/>
  <c r="W333" i="30"/>
  <c r="S333" i="30"/>
  <c r="W332" i="30"/>
  <c r="S332" i="30"/>
  <c r="W331" i="30"/>
  <c r="S331" i="30"/>
  <c r="W330" i="30"/>
  <c r="S330" i="30"/>
  <c r="W329" i="30"/>
  <c r="S329" i="30"/>
  <c r="W328" i="30"/>
  <c r="S328" i="30"/>
  <c r="W327" i="30"/>
  <c r="S327" i="30"/>
  <c r="W326" i="30"/>
  <c r="S326" i="30"/>
  <c r="W325" i="30"/>
  <c r="S325" i="30"/>
  <c r="W324" i="30"/>
  <c r="S324" i="30"/>
  <c r="W323" i="30"/>
  <c r="S323" i="30"/>
  <c r="W322" i="30"/>
  <c r="S322" i="30"/>
  <c r="W321" i="30"/>
  <c r="S321" i="30"/>
  <c r="W320" i="30"/>
  <c r="S320" i="30"/>
  <c r="W319" i="30"/>
  <c r="S319" i="30"/>
  <c r="W318" i="30"/>
  <c r="S318" i="30"/>
  <c r="W317" i="30"/>
  <c r="S317" i="30"/>
  <c r="W316" i="30"/>
  <c r="S316" i="30"/>
  <c r="W315" i="30"/>
  <c r="S315" i="30"/>
  <c r="W314" i="30"/>
  <c r="S314" i="30"/>
  <c r="W313" i="30"/>
  <c r="S313" i="30"/>
  <c r="W312" i="30"/>
  <c r="S312" i="30"/>
  <c r="W311" i="30"/>
  <c r="S311" i="30"/>
  <c r="W310" i="30"/>
  <c r="S310" i="30"/>
  <c r="W309" i="30"/>
  <c r="S309" i="30"/>
  <c r="W308" i="30"/>
  <c r="S308" i="30"/>
  <c r="W307" i="30"/>
  <c r="S307" i="30"/>
  <c r="W306" i="30"/>
  <c r="S306" i="30"/>
  <c r="W305" i="30"/>
  <c r="S305" i="30"/>
  <c r="W304" i="30"/>
  <c r="S304" i="30"/>
  <c r="W303" i="30"/>
  <c r="S303" i="30"/>
  <c r="W302" i="30"/>
  <c r="S302" i="30"/>
  <c r="W301" i="30"/>
  <c r="S301" i="30"/>
  <c r="W300" i="30"/>
  <c r="S300" i="30"/>
  <c r="W299" i="30"/>
  <c r="S299" i="30"/>
  <c r="W298" i="30"/>
  <c r="S298" i="30"/>
  <c r="W297" i="30"/>
  <c r="S297" i="30"/>
  <c r="W296" i="30"/>
  <c r="S296" i="30"/>
  <c r="W295" i="30"/>
  <c r="S295" i="30"/>
  <c r="W294" i="30"/>
  <c r="S294" i="30"/>
  <c r="W293" i="30"/>
  <c r="S293" i="30"/>
  <c r="W292" i="30"/>
  <c r="S292" i="30"/>
  <c r="W291" i="30"/>
  <c r="S291" i="30"/>
  <c r="W290" i="30"/>
  <c r="S290" i="30"/>
  <c r="W289" i="30"/>
  <c r="S289" i="30"/>
  <c r="W288" i="30"/>
  <c r="S288" i="30"/>
  <c r="W287" i="30"/>
  <c r="S287" i="30"/>
  <c r="W286" i="30"/>
  <c r="S286" i="30"/>
  <c r="W285" i="30"/>
  <c r="S285" i="30"/>
  <c r="W284" i="30"/>
  <c r="S284" i="30"/>
  <c r="W283" i="30"/>
  <c r="S283" i="30"/>
  <c r="W282" i="30"/>
  <c r="S282" i="30"/>
  <c r="W281" i="30"/>
  <c r="S281" i="30"/>
  <c r="W280" i="30"/>
  <c r="S280" i="30"/>
  <c r="W279" i="30"/>
  <c r="S279" i="30"/>
  <c r="W278" i="30"/>
  <c r="S278" i="30"/>
  <c r="W277" i="30"/>
  <c r="S277" i="30"/>
  <c r="W276" i="30"/>
  <c r="S276" i="30"/>
  <c r="W275" i="30"/>
  <c r="S275" i="30"/>
  <c r="W274" i="30"/>
  <c r="S274" i="30"/>
  <c r="W273" i="30"/>
  <c r="S273" i="30"/>
  <c r="W272" i="30"/>
  <c r="S272" i="30"/>
  <c r="W271" i="30"/>
  <c r="S271" i="30"/>
  <c r="W270" i="30"/>
  <c r="S270" i="30"/>
  <c r="W269" i="30"/>
  <c r="S269" i="30"/>
  <c r="W268" i="30"/>
  <c r="S268" i="30"/>
  <c r="W267" i="30"/>
  <c r="S267" i="30"/>
  <c r="W266" i="30"/>
  <c r="S266" i="30"/>
  <c r="W265" i="30"/>
  <c r="S265" i="30"/>
  <c r="W264" i="30"/>
  <c r="S264" i="30"/>
  <c r="W263" i="30"/>
  <c r="S263" i="30"/>
  <c r="W262" i="30"/>
  <c r="S262" i="30"/>
  <c r="W261" i="30"/>
  <c r="S261" i="30"/>
  <c r="W260" i="30"/>
  <c r="S260" i="30"/>
  <c r="W259" i="30"/>
  <c r="S259" i="30"/>
  <c r="W258" i="30"/>
  <c r="S258" i="30"/>
  <c r="W257" i="30"/>
  <c r="S257" i="30"/>
  <c r="W256" i="30"/>
  <c r="S256" i="30"/>
  <c r="W255" i="30"/>
  <c r="S255" i="30"/>
  <c r="W254" i="30"/>
  <c r="S254" i="30"/>
  <c r="W253" i="30"/>
  <c r="S253" i="30"/>
  <c r="W252" i="30"/>
  <c r="S252" i="30"/>
  <c r="W251" i="30"/>
  <c r="S251" i="30"/>
  <c r="W250" i="30"/>
  <c r="S250" i="30"/>
  <c r="W249" i="30"/>
  <c r="S249" i="30"/>
  <c r="W248" i="30"/>
  <c r="S248" i="30"/>
  <c r="W247" i="30"/>
  <c r="S247" i="30"/>
  <c r="W246" i="30"/>
  <c r="S246" i="30"/>
  <c r="W245" i="30"/>
  <c r="S245" i="30"/>
  <c r="W244" i="30"/>
  <c r="S244" i="30"/>
  <c r="W243" i="30"/>
  <c r="S243" i="30"/>
  <c r="W242" i="30"/>
  <c r="S242" i="30"/>
  <c r="W241" i="30"/>
  <c r="S241" i="30"/>
  <c r="W240" i="30"/>
  <c r="S240" i="30"/>
  <c r="W239" i="30"/>
  <c r="S239" i="30"/>
  <c r="W238" i="30"/>
  <c r="S238" i="30"/>
  <c r="W237" i="30"/>
  <c r="S237" i="30"/>
  <c r="W236" i="30"/>
  <c r="S236" i="30"/>
  <c r="W235" i="30"/>
  <c r="S235" i="30"/>
  <c r="W234" i="30"/>
  <c r="S234" i="30"/>
  <c r="W233" i="30"/>
  <c r="S233" i="30"/>
  <c r="W232" i="30"/>
  <c r="S232" i="30"/>
  <c r="W231" i="30"/>
  <c r="S231" i="30"/>
  <c r="W230" i="30"/>
  <c r="S230" i="30"/>
  <c r="W229" i="30"/>
  <c r="S229" i="30"/>
  <c r="W228" i="30"/>
  <c r="S228" i="30"/>
  <c r="W227" i="30"/>
  <c r="S227" i="30"/>
  <c r="W226" i="30"/>
  <c r="S226" i="30"/>
  <c r="W225" i="30"/>
  <c r="S225" i="30"/>
  <c r="W224" i="30"/>
  <c r="S224" i="30"/>
  <c r="W223" i="30"/>
  <c r="S223" i="30"/>
  <c r="W222" i="30"/>
  <c r="S222" i="30"/>
  <c r="W221" i="30"/>
  <c r="S221" i="30"/>
  <c r="W220" i="30"/>
  <c r="S220" i="30"/>
  <c r="W219" i="30"/>
  <c r="S219" i="30"/>
  <c r="W218" i="30"/>
  <c r="S218" i="30"/>
  <c r="W217" i="30"/>
  <c r="S217" i="30"/>
  <c r="W216" i="30"/>
  <c r="S216" i="30"/>
  <c r="W215" i="30"/>
  <c r="S215" i="30"/>
  <c r="W214" i="30"/>
  <c r="S214" i="30"/>
  <c r="W213" i="30"/>
  <c r="S213" i="30"/>
  <c r="W212" i="30"/>
  <c r="S212" i="30"/>
  <c r="W211" i="30"/>
  <c r="S211" i="30"/>
  <c r="W210" i="30"/>
  <c r="S210" i="30"/>
  <c r="W209" i="30"/>
  <c r="S209" i="30"/>
  <c r="W208" i="30"/>
  <c r="S208" i="30"/>
  <c r="W207" i="30"/>
  <c r="S207" i="30"/>
  <c r="W206" i="30"/>
  <c r="S206" i="30"/>
  <c r="W205" i="30"/>
  <c r="S205" i="30"/>
  <c r="W204" i="30"/>
  <c r="S204" i="30"/>
  <c r="W203" i="30"/>
  <c r="S203" i="30"/>
  <c r="W202" i="30"/>
  <c r="S202" i="30"/>
  <c r="W201" i="30"/>
  <c r="S201" i="30"/>
  <c r="W200" i="30"/>
  <c r="S200" i="30"/>
  <c r="W199" i="30"/>
  <c r="S199" i="30"/>
  <c r="W198" i="30"/>
  <c r="S198" i="30"/>
  <c r="W197" i="30"/>
  <c r="S197" i="30"/>
  <c r="W196" i="30"/>
  <c r="S196" i="30"/>
  <c r="W195" i="30"/>
  <c r="S195" i="30"/>
  <c r="W194" i="30"/>
  <c r="S194" i="30"/>
  <c r="W193" i="30"/>
  <c r="S193" i="30"/>
  <c r="W192" i="30"/>
  <c r="S192" i="30"/>
  <c r="W191" i="30"/>
  <c r="S191" i="30"/>
  <c r="W190" i="30"/>
  <c r="S190" i="30"/>
  <c r="W189" i="30"/>
  <c r="S189" i="30"/>
  <c r="W188" i="30"/>
  <c r="S188" i="30"/>
  <c r="W187" i="30"/>
  <c r="S187" i="30"/>
  <c r="W186" i="30"/>
  <c r="S186" i="30"/>
  <c r="W185" i="30"/>
  <c r="S185" i="30"/>
  <c r="W184" i="30"/>
  <c r="S184" i="30"/>
  <c r="W183" i="30"/>
  <c r="S183" i="30"/>
  <c r="W182" i="30"/>
  <c r="S182" i="30"/>
  <c r="W181" i="30"/>
  <c r="S181" i="30"/>
  <c r="W180" i="30"/>
  <c r="S180" i="30"/>
  <c r="W179" i="30"/>
  <c r="S179" i="30"/>
  <c r="W178" i="30"/>
  <c r="S178" i="30"/>
  <c r="W177" i="30"/>
  <c r="S177" i="30"/>
  <c r="W176" i="30"/>
  <c r="S176" i="30"/>
  <c r="W175" i="30"/>
  <c r="S175" i="30"/>
  <c r="W174" i="30"/>
  <c r="S174" i="30"/>
  <c r="W173" i="30"/>
  <c r="S173" i="30"/>
  <c r="W172" i="30"/>
  <c r="S172" i="30"/>
  <c r="W171" i="30"/>
  <c r="S171" i="30"/>
  <c r="W170" i="30"/>
  <c r="S170" i="30"/>
  <c r="W169" i="30"/>
  <c r="S169" i="30"/>
  <c r="W168" i="30"/>
  <c r="S168" i="30"/>
  <c r="W167" i="30"/>
  <c r="S167" i="30"/>
  <c r="W166" i="30"/>
  <c r="S166" i="30"/>
  <c r="W165" i="30"/>
  <c r="S165" i="30"/>
  <c r="W164" i="30"/>
  <c r="S164" i="30"/>
  <c r="W163" i="30"/>
  <c r="S163" i="30"/>
  <c r="W162" i="30"/>
  <c r="S162" i="30"/>
  <c r="W161" i="30"/>
  <c r="S161" i="30"/>
  <c r="W160" i="30"/>
  <c r="S160" i="30"/>
  <c r="W159" i="30"/>
  <c r="S159" i="30"/>
  <c r="W158" i="30"/>
  <c r="S158" i="30"/>
  <c r="W157" i="30"/>
  <c r="S157" i="30"/>
  <c r="W156" i="30"/>
  <c r="S156" i="30"/>
  <c r="W155" i="30"/>
  <c r="S155" i="30"/>
  <c r="W154" i="30"/>
  <c r="S154" i="30"/>
  <c r="W153" i="30"/>
  <c r="S153" i="30"/>
  <c r="W152" i="30"/>
  <c r="S152" i="30"/>
  <c r="W151" i="30"/>
  <c r="S151" i="30"/>
  <c r="W150" i="30"/>
  <c r="S150" i="30"/>
  <c r="W149" i="30"/>
  <c r="S149" i="30"/>
  <c r="W148" i="30"/>
  <c r="S148" i="30"/>
  <c r="W147" i="30"/>
  <c r="S147" i="30"/>
  <c r="W146" i="30"/>
  <c r="S146" i="30"/>
  <c r="W145" i="30"/>
  <c r="S145" i="30"/>
  <c r="W144" i="30"/>
  <c r="S144" i="30"/>
  <c r="W143" i="30"/>
  <c r="S143" i="30"/>
  <c r="W142" i="30"/>
  <c r="S142" i="30"/>
  <c r="W141" i="30"/>
  <c r="S141" i="30"/>
  <c r="W140" i="30"/>
  <c r="S140" i="30"/>
  <c r="W139" i="30"/>
  <c r="S139" i="30"/>
  <c r="W138" i="30"/>
  <c r="S138" i="30"/>
  <c r="W137" i="30"/>
  <c r="S137" i="30"/>
  <c r="W136" i="30"/>
  <c r="S136" i="30"/>
  <c r="W135" i="30"/>
  <c r="S135" i="30"/>
  <c r="W134" i="30"/>
  <c r="S134" i="30"/>
  <c r="W133" i="30"/>
  <c r="S133" i="30"/>
  <c r="W132" i="30"/>
  <c r="S132" i="30"/>
  <c r="W131" i="30"/>
  <c r="S131" i="30"/>
  <c r="W130" i="30"/>
  <c r="S130" i="30"/>
  <c r="W129" i="30"/>
  <c r="S129" i="30"/>
  <c r="W128" i="30"/>
  <c r="S128" i="30"/>
  <c r="W127" i="30"/>
  <c r="S127" i="30"/>
  <c r="W126" i="30"/>
  <c r="S126" i="30"/>
  <c r="W125" i="30"/>
  <c r="S125" i="30"/>
  <c r="W124" i="30"/>
  <c r="S124" i="30"/>
  <c r="W123" i="30"/>
  <c r="S123" i="30"/>
  <c r="W122" i="30"/>
  <c r="S122" i="30"/>
  <c r="W121" i="30"/>
  <c r="S121" i="30"/>
  <c r="W120" i="30"/>
  <c r="S120" i="30"/>
  <c r="W119" i="30"/>
  <c r="S119" i="30"/>
  <c r="W118" i="30"/>
  <c r="S118" i="30"/>
  <c r="W117" i="30"/>
  <c r="S117" i="30"/>
  <c r="W116" i="30"/>
  <c r="S116" i="30"/>
  <c r="W115" i="30"/>
  <c r="S115" i="30"/>
  <c r="W114" i="30"/>
  <c r="S114" i="30"/>
  <c r="W113" i="30"/>
  <c r="S113" i="30"/>
  <c r="W112" i="30"/>
  <c r="S112" i="30"/>
  <c r="W111" i="30"/>
  <c r="S111" i="30"/>
  <c r="W110" i="30"/>
  <c r="S110" i="30"/>
  <c r="W109" i="30"/>
  <c r="S109" i="30"/>
  <c r="W108" i="30"/>
  <c r="S108" i="30"/>
  <c r="W107" i="30"/>
  <c r="S107" i="30"/>
  <c r="W106" i="30"/>
  <c r="S106" i="30"/>
  <c r="W105" i="30"/>
  <c r="S105" i="30"/>
  <c r="W104" i="30"/>
  <c r="S104" i="30"/>
  <c r="W103" i="30"/>
  <c r="S103" i="30"/>
  <c r="W102" i="30"/>
  <c r="S102" i="30"/>
  <c r="W101" i="30"/>
  <c r="S101" i="30"/>
  <c r="W100" i="30"/>
  <c r="S100" i="30"/>
  <c r="W99" i="30"/>
  <c r="S99" i="30"/>
  <c r="W98" i="30"/>
  <c r="S98" i="30"/>
  <c r="W97" i="30"/>
  <c r="S97" i="30"/>
  <c r="W96" i="30"/>
  <c r="S96" i="30"/>
  <c r="W95" i="30"/>
  <c r="S95" i="30"/>
  <c r="W94" i="30"/>
  <c r="S94" i="30"/>
  <c r="W93" i="30"/>
  <c r="S93" i="30"/>
  <c r="W92" i="30"/>
  <c r="S92" i="30"/>
  <c r="W91" i="30"/>
  <c r="S91" i="30"/>
  <c r="W90" i="30"/>
  <c r="S90" i="30"/>
  <c r="W89" i="30"/>
  <c r="S89" i="30"/>
  <c r="W88" i="30"/>
  <c r="S88" i="30"/>
  <c r="W87" i="30"/>
  <c r="S87" i="30"/>
  <c r="W86" i="30"/>
  <c r="S86" i="30"/>
  <c r="W85" i="30"/>
  <c r="S85" i="30"/>
  <c r="W84" i="30"/>
  <c r="S84" i="30"/>
  <c r="W83" i="30"/>
  <c r="S83" i="30"/>
  <c r="W82" i="30"/>
  <c r="S82" i="30"/>
  <c r="W81" i="30"/>
  <c r="S81" i="30"/>
  <c r="W80" i="30"/>
  <c r="S80" i="30"/>
  <c r="W79" i="30"/>
  <c r="S79" i="30"/>
  <c r="W78" i="30"/>
  <c r="S78" i="30"/>
  <c r="W77" i="30"/>
  <c r="S77" i="30"/>
  <c r="W76" i="30"/>
  <c r="S76" i="30"/>
  <c r="W75" i="30"/>
  <c r="S75" i="30"/>
  <c r="W74" i="30"/>
  <c r="S74" i="30"/>
  <c r="W73" i="30"/>
  <c r="S73" i="30"/>
  <c r="W72" i="30"/>
  <c r="S72" i="30"/>
  <c r="W71" i="30"/>
  <c r="S71" i="30"/>
  <c r="W70" i="30"/>
  <c r="S70" i="30"/>
  <c r="W69" i="30"/>
  <c r="S69" i="30"/>
  <c r="W68" i="30"/>
  <c r="S68" i="30"/>
  <c r="W67" i="30"/>
  <c r="S67" i="30"/>
  <c r="W66" i="30"/>
  <c r="S66" i="30"/>
  <c r="W65" i="30"/>
  <c r="S65" i="30"/>
  <c r="W64" i="30"/>
  <c r="S64" i="30"/>
  <c r="W63" i="30"/>
  <c r="S63" i="30"/>
  <c r="W62" i="30"/>
  <c r="S62" i="30"/>
  <c r="W61" i="30"/>
  <c r="S61" i="30"/>
  <c r="W60" i="30"/>
  <c r="S60" i="30"/>
  <c r="W59" i="30"/>
  <c r="S59" i="30"/>
  <c r="W58" i="30"/>
  <c r="S58" i="30"/>
  <c r="W57" i="30"/>
  <c r="S57" i="30"/>
  <c r="W56" i="30"/>
  <c r="S56" i="30"/>
  <c r="W55" i="30"/>
  <c r="S55" i="30"/>
  <c r="W54" i="30"/>
  <c r="S54" i="30"/>
  <c r="W53" i="30"/>
  <c r="S53" i="30"/>
  <c r="W52" i="30"/>
  <c r="S52" i="30"/>
  <c r="W51" i="30"/>
  <c r="S51" i="30"/>
  <c r="W50" i="30"/>
  <c r="S50" i="30"/>
  <c r="W49" i="30"/>
  <c r="S49" i="30"/>
  <c r="W48" i="30"/>
  <c r="S48" i="30"/>
  <c r="W47" i="30"/>
  <c r="S47" i="30"/>
  <c r="W46" i="30"/>
  <c r="S46" i="30"/>
  <c r="W45" i="30"/>
  <c r="S45" i="30"/>
  <c r="W44" i="30"/>
  <c r="S44" i="30"/>
  <c r="W43" i="30"/>
  <c r="S43" i="30"/>
  <c r="W42" i="30"/>
  <c r="S42" i="30"/>
  <c r="W41" i="30"/>
  <c r="S41" i="30"/>
  <c r="W40" i="30"/>
  <c r="S40" i="30"/>
  <c r="W39" i="30"/>
  <c r="S39" i="30"/>
  <c r="W38" i="30"/>
  <c r="S38" i="30"/>
  <c r="W37" i="30"/>
  <c r="S37" i="30"/>
  <c r="W36" i="30"/>
  <c r="S36" i="30"/>
  <c r="W35" i="30"/>
  <c r="S35" i="30"/>
  <c r="W34" i="30"/>
  <c r="S34" i="30"/>
  <c r="W33" i="30"/>
  <c r="S33" i="30"/>
  <c r="W32" i="30"/>
  <c r="S32" i="30"/>
  <c r="W31" i="30"/>
  <c r="S31" i="30"/>
  <c r="W30" i="30"/>
  <c r="S30" i="30"/>
  <c r="W29" i="30"/>
  <c r="S29" i="30"/>
  <c r="W28" i="30"/>
  <c r="S28" i="30"/>
  <c r="W27" i="30"/>
  <c r="S27" i="30"/>
  <c r="W26" i="30"/>
  <c r="S26" i="30"/>
  <c r="W25" i="30"/>
  <c r="S25" i="30"/>
  <c r="W24" i="30"/>
  <c r="S24" i="30"/>
  <c r="W23" i="30"/>
  <c r="S23" i="30"/>
  <c r="W22" i="30"/>
  <c r="S22" i="30"/>
  <c r="W21" i="30"/>
  <c r="S21" i="30"/>
  <c r="W20" i="30"/>
  <c r="S20" i="30"/>
  <c r="W19" i="30"/>
  <c r="S19" i="30"/>
  <c r="W18" i="30"/>
  <c r="S18" i="30"/>
  <c r="W17" i="30"/>
  <c r="S17" i="30"/>
  <c r="W16" i="30"/>
  <c r="S16" i="30"/>
  <c r="W15" i="30"/>
  <c r="S15" i="30"/>
  <c r="W14" i="30"/>
  <c r="S14" i="30"/>
  <c r="W13" i="30"/>
  <c r="S13" i="30"/>
  <c r="W12" i="30"/>
  <c r="S12" i="30"/>
  <c r="W11" i="30"/>
  <c r="S11" i="30"/>
  <c r="W10" i="30"/>
  <c r="S10" i="30"/>
  <c r="W9" i="30"/>
  <c r="S9" i="30"/>
  <c r="W8" i="30"/>
  <c r="S8" i="30"/>
  <c r="W7" i="30"/>
  <c r="S7" i="30"/>
  <c r="W6" i="30"/>
  <c r="S6" i="30"/>
  <c r="W5" i="30"/>
  <c r="S5" i="30"/>
  <c r="W4" i="30"/>
  <c r="S4" i="30"/>
  <c r="B18" i="29"/>
  <c r="F97" i="22"/>
  <c r="A197" i="23"/>
  <c r="V197" i="23" s="1"/>
  <c r="A194" i="23"/>
  <c r="F194" i="23" s="1"/>
  <c r="A2" i="16"/>
  <c r="A3" i="23"/>
  <c r="B6" i="27" s="1"/>
  <c r="K3" i="22"/>
  <c r="Z4" i="27"/>
  <c r="G2" i="16"/>
  <c r="E3" i="19" s="1"/>
  <c r="A8" i="23"/>
  <c r="V13" i="27"/>
  <c r="AA14" i="27"/>
  <c r="X13" i="27"/>
  <c r="O13" i="27"/>
  <c r="I14" i="27"/>
  <c r="J13" i="27"/>
  <c r="W13" i="27"/>
  <c r="R14" i="27"/>
  <c r="H14" i="27"/>
  <c r="U13" i="27"/>
  <c r="Q14" i="27"/>
  <c r="I13" i="27"/>
  <c r="T14" i="27"/>
  <c r="K13" i="27"/>
  <c r="M13" i="27"/>
  <c r="D13" i="27"/>
  <c r="W14" i="27"/>
  <c r="C13" i="27"/>
  <c r="H13" i="27"/>
  <c r="U14" i="27"/>
  <c r="N13" i="27"/>
  <c r="Y13" i="27"/>
  <c r="P13" i="27"/>
  <c r="E14" i="27"/>
  <c r="V14" i="27"/>
  <c r="M14" i="27"/>
  <c r="AB13" i="27"/>
  <c r="S13" i="27"/>
  <c r="O14" i="27"/>
  <c r="D14" i="27"/>
  <c r="G13" i="27"/>
  <c r="AA13" i="27"/>
  <c r="R13" i="27"/>
  <c r="N14" i="27"/>
  <c r="C14" i="27"/>
  <c r="G14" i="27"/>
  <c r="Z13" i="27"/>
  <c r="Q13" i="27"/>
  <c r="K14" i="27"/>
  <c r="X14" i="27"/>
  <c r="J14" i="27"/>
  <c r="S14" i="27"/>
  <c r="Z14" i="27"/>
  <c r="E13" i="27"/>
  <c r="Y14" i="27"/>
  <c r="AB14" i="27"/>
  <c r="T13" i="27"/>
  <c r="P14" i="27"/>
  <c r="AJ33" i="35"/>
  <c r="AO173" i="23" s="1"/>
  <c r="AJ32" i="35"/>
  <c r="O152" i="23" s="1"/>
  <c r="O148" i="23" s="1"/>
  <c r="AJ58" i="35"/>
  <c r="AT173" i="23" s="1"/>
  <c r="AJ57" i="35"/>
  <c r="Y152" i="23" s="1"/>
  <c r="Y148" i="23" s="1"/>
  <c r="AJ48" i="35"/>
  <c r="AR173" i="23" s="1"/>
  <c r="AJ47" i="35"/>
  <c r="U152" i="23" s="1"/>
  <c r="U148" i="23" s="1"/>
  <c r="AJ53" i="35"/>
  <c r="AS173" i="23" s="1"/>
  <c r="AJ52" i="35"/>
  <c r="W152" i="23" s="1"/>
  <c r="W148" i="23" s="1"/>
  <c r="AJ22" i="35"/>
  <c r="K152" i="23" s="1"/>
  <c r="K148" i="23" s="1"/>
  <c r="AJ23" i="35"/>
  <c r="AM173" i="23" s="1"/>
  <c r="AJ13" i="35"/>
  <c r="AK173" i="23" s="1"/>
  <c r="AJ12" i="35"/>
  <c r="G152" i="23" s="1"/>
  <c r="G148" i="23" s="1"/>
  <c r="AJ62" i="35"/>
  <c r="AA152" i="23" s="1"/>
  <c r="AA148" i="23" s="1"/>
  <c r="AJ63" i="35"/>
  <c r="AU173" i="23" s="1"/>
  <c r="AJ18" i="35"/>
  <c r="AL173" i="23" s="1"/>
  <c r="V173" i="23"/>
  <c r="AA172" i="23" s="1"/>
  <c r="AI172" i="23" s="1"/>
  <c r="AJ17" i="35"/>
  <c r="I152" i="23" s="1"/>
  <c r="I148" i="23" s="1"/>
  <c r="AA135" i="23"/>
  <c r="AI135" i="23" s="1"/>
  <c r="AJ28" i="35"/>
  <c r="AN173" i="23" s="1"/>
  <c r="AJ27" i="35"/>
  <c r="M152" i="23" s="1"/>
  <c r="M148" i="23" s="1"/>
  <c r="AJ68" i="35"/>
  <c r="AV173" i="23" s="1"/>
  <c r="AJ67" i="35"/>
  <c r="AC152" i="23" s="1"/>
  <c r="AC148" i="23" s="1"/>
  <c r="T4" i="30"/>
  <c r="U4" i="30" s="1"/>
  <c r="Y3" i="30" s="1"/>
  <c r="Y5" i="30" s="1"/>
  <c r="G62" i="16"/>
  <c r="O62" i="16" s="1"/>
  <c r="G56" i="16"/>
  <c r="O56" i="16" s="1"/>
  <c r="G122" i="16"/>
  <c r="O122" i="16" s="1"/>
  <c r="G70" i="16"/>
  <c r="O70" i="16" s="1"/>
  <c r="G98" i="16"/>
  <c r="O98" i="16" s="1"/>
  <c r="G92" i="16"/>
  <c r="O92" i="16" s="1"/>
  <c r="G108" i="16"/>
  <c r="O108" i="16" s="1"/>
  <c r="H10" i="22"/>
  <c r="AD28" i="16"/>
  <c r="H28" i="16" s="1"/>
  <c r="N32" i="16" s="1"/>
  <c r="J32" i="16" s="1"/>
  <c r="R49" i="16"/>
  <c r="R51" i="16"/>
  <c r="S50" i="16"/>
  <c r="R47" i="16"/>
  <c r="E75" i="38"/>
  <c r="J33" i="16"/>
  <c r="U51" i="16"/>
  <c r="U49" i="16"/>
  <c r="W51" i="16"/>
  <c r="W49" i="16"/>
  <c r="D75" i="38"/>
  <c r="W47" i="16"/>
  <c r="U46" i="16"/>
  <c r="R43" i="16"/>
  <c r="R41" i="16"/>
  <c r="AI318" i="23"/>
  <c r="R30" i="16"/>
  <c r="W43" i="16"/>
  <c r="U41" i="16"/>
  <c r="W41" i="16"/>
  <c r="AI319" i="23"/>
  <c r="U44" i="16"/>
  <c r="AD32" i="22"/>
  <c r="AD33" i="22"/>
  <c r="AD34" i="22"/>
  <c r="AD31" i="22"/>
  <c r="AI140" i="23"/>
  <c r="J38" i="22"/>
  <c r="J28" i="22"/>
  <c r="J30" i="22"/>
  <c r="J29" i="22"/>
  <c r="J40" i="22"/>
  <c r="J55" i="22"/>
  <c r="J53" i="22"/>
  <c r="J42" i="22"/>
  <c r="BC3" i="22" l="1"/>
  <c r="Q31" i="22"/>
  <c r="R26" i="22"/>
  <c r="I97" i="22"/>
  <c r="AY3" i="22"/>
  <c r="AI67" i="22"/>
  <c r="L67" i="22" s="1"/>
  <c r="BA3" i="22"/>
  <c r="A80" i="22"/>
  <c r="R38" i="22"/>
  <c r="D102" i="22" s="1"/>
  <c r="AI10" i="35"/>
  <c r="Q29" i="22"/>
  <c r="L96" i="22" s="1"/>
  <c r="F217" i="23" s="1"/>
  <c r="AY45" i="35"/>
  <c r="AI22" i="23"/>
  <c r="T9" i="30"/>
  <c r="U9" i="30" s="1"/>
  <c r="T5" i="30"/>
  <c r="U5" i="30" s="1"/>
  <c r="T6" i="30"/>
  <c r="U6" i="30" s="1"/>
  <c r="T11" i="30"/>
  <c r="T12" i="30"/>
  <c r="T8" i="30"/>
  <c r="U8" i="30" s="1"/>
  <c r="H194" i="23"/>
  <c r="AA62" i="23"/>
  <c r="AI62" i="23" s="1"/>
  <c r="P194" i="23"/>
  <c r="AV195" i="23" s="1"/>
  <c r="BJ45" i="35"/>
  <c r="X197" i="23"/>
  <c r="BE45" i="35"/>
  <c r="AI19" i="23"/>
  <c r="B19" i="23" s="1"/>
  <c r="X194" i="23"/>
  <c r="BD195" i="23" s="1"/>
  <c r="T194" i="23"/>
  <c r="AZ195" i="23" s="1"/>
  <c r="AQ45" i="35"/>
  <c r="BM45" i="35"/>
  <c r="H15" i="37"/>
  <c r="R17" i="22"/>
  <c r="L103" i="22" s="1"/>
  <c r="J194" i="23"/>
  <c r="AP195" i="23" s="1"/>
  <c r="BH45" i="35"/>
  <c r="J45" i="35"/>
  <c r="H22" i="37"/>
  <c r="F197" i="23"/>
  <c r="AL198" i="23" s="1"/>
  <c r="G93" i="16"/>
  <c r="O93" i="16" s="1"/>
  <c r="G135" i="16"/>
  <c r="O135" i="16" s="1"/>
  <c r="G72" i="16"/>
  <c r="O72" i="16" s="1"/>
  <c r="G124" i="16"/>
  <c r="O124" i="16" s="1"/>
  <c r="G104" i="16"/>
  <c r="O104" i="16" s="1"/>
  <c r="G94" i="16"/>
  <c r="O94" i="16" s="1"/>
  <c r="G100" i="16"/>
  <c r="O100" i="16" s="1"/>
  <c r="G79" i="16"/>
  <c r="O79" i="16" s="1"/>
  <c r="G130" i="16"/>
  <c r="O130" i="16" s="1"/>
  <c r="G82" i="16"/>
  <c r="O82" i="16" s="1"/>
  <c r="G63" i="16"/>
  <c r="O63" i="16" s="1"/>
  <c r="G139" i="16"/>
  <c r="O139" i="16" s="1"/>
  <c r="G116" i="16"/>
  <c r="O116" i="16" s="1"/>
  <c r="G49" i="16"/>
  <c r="O49" i="16" s="1"/>
  <c r="T44" i="30"/>
  <c r="T7" i="30"/>
  <c r="U7" i="30" s="1"/>
  <c r="T13" i="30"/>
  <c r="U13" i="30" s="1"/>
  <c r="G41" i="16"/>
  <c r="O41" i="16" s="1"/>
  <c r="G88" i="16"/>
  <c r="O88" i="16" s="1"/>
  <c r="G120" i="16"/>
  <c r="O120" i="16" s="1"/>
  <c r="G105" i="16"/>
  <c r="O105" i="16" s="1"/>
  <c r="G106" i="16"/>
  <c r="O106" i="16" s="1"/>
  <c r="G101" i="16"/>
  <c r="O101" i="16" s="1"/>
  <c r="G114" i="16"/>
  <c r="O114" i="16" s="1"/>
  <c r="G51" i="16"/>
  <c r="O51" i="16" s="1"/>
  <c r="G117" i="16"/>
  <c r="O117" i="16" s="1"/>
  <c r="G61" i="16"/>
  <c r="O61" i="16" s="1"/>
  <c r="G77" i="16"/>
  <c r="O77" i="16" s="1"/>
  <c r="G112" i="16"/>
  <c r="O112" i="16" s="1"/>
  <c r="AZ45" i="35"/>
  <c r="Q45" i="35"/>
  <c r="E25" i="37"/>
  <c r="AA286" i="23"/>
  <c r="AA285" i="23" s="1"/>
  <c r="U62" i="16"/>
  <c r="U74" i="16"/>
  <c r="U113" i="16"/>
  <c r="U85" i="16"/>
  <c r="U130" i="16"/>
  <c r="U116" i="16"/>
  <c r="U75" i="16"/>
  <c r="U135" i="16"/>
  <c r="V36" i="16"/>
  <c r="U99" i="16"/>
  <c r="G76" i="16"/>
  <c r="O76" i="16" s="1"/>
  <c r="G103" i="16"/>
  <c r="O103" i="16" s="1"/>
  <c r="G99" i="16"/>
  <c r="O99" i="16" s="1"/>
  <c r="G64" i="16"/>
  <c r="O64" i="16" s="1"/>
  <c r="G118" i="16"/>
  <c r="O118" i="16" s="1"/>
  <c r="G45" i="16"/>
  <c r="O45" i="16" s="1"/>
  <c r="G42" i="16"/>
  <c r="O42" i="16" s="1"/>
  <c r="G84" i="16"/>
  <c r="O84" i="16" s="1"/>
  <c r="G128" i="16"/>
  <c r="O128" i="16" s="1"/>
  <c r="G90" i="16"/>
  <c r="O90" i="16" s="1"/>
  <c r="G95" i="16"/>
  <c r="O95" i="16" s="1"/>
  <c r="G102" i="16"/>
  <c r="O102" i="16" s="1"/>
  <c r="G110" i="16"/>
  <c r="O110" i="16" s="1"/>
  <c r="G134" i="16"/>
  <c r="O134" i="16" s="1"/>
  <c r="G113" i="16"/>
  <c r="O113" i="16" s="1"/>
  <c r="G57" i="16"/>
  <c r="O57" i="16" s="1"/>
  <c r="G73" i="16"/>
  <c r="O73" i="16" s="1"/>
  <c r="G121" i="16"/>
  <c r="O121" i="16" s="1"/>
  <c r="G137" i="16"/>
  <c r="O137" i="16" s="1"/>
  <c r="I8" i="22"/>
  <c r="I10" i="22" s="1"/>
  <c r="N25" i="22"/>
  <c r="D90" i="22" s="1"/>
  <c r="U42" i="16"/>
  <c r="U88" i="16"/>
  <c r="U52" i="16"/>
  <c r="U86" i="16"/>
  <c r="U64" i="16"/>
  <c r="U117" i="16"/>
  <c r="U87" i="16"/>
  <c r="U139" i="16"/>
  <c r="U107" i="16"/>
  <c r="U98" i="16"/>
  <c r="U127" i="16"/>
  <c r="U93" i="16"/>
  <c r="U96" i="16"/>
  <c r="U90" i="16"/>
  <c r="U136" i="16"/>
  <c r="U126" i="16"/>
  <c r="U83" i="16"/>
  <c r="U59" i="16"/>
  <c r="U82" i="16"/>
  <c r="U48" i="16"/>
  <c r="U121" i="16"/>
  <c r="U70" i="16"/>
  <c r="U47" i="16"/>
  <c r="U123" i="16"/>
  <c r="U72" i="16"/>
  <c r="U111" i="16"/>
  <c r="U103" i="16"/>
  <c r="U106" i="16"/>
  <c r="U105" i="16"/>
  <c r="U102" i="16"/>
  <c r="U132" i="16"/>
  <c r="U122" i="16"/>
  <c r="U79" i="16"/>
  <c r="U55" i="16"/>
  <c r="U81" i="16"/>
  <c r="U40" i="16"/>
  <c r="U120" i="16"/>
  <c r="U69" i="16"/>
  <c r="U43" i="16"/>
  <c r="U109" i="16"/>
  <c r="U58" i="16"/>
  <c r="U77" i="16"/>
  <c r="G80" i="16"/>
  <c r="O80" i="16" s="1"/>
  <c r="G131" i="16"/>
  <c r="O131" i="16" s="1"/>
  <c r="G91" i="16"/>
  <c r="O91" i="16" s="1"/>
  <c r="G96" i="16"/>
  <c r="O96" i="16" s="1"/>
  <c r="G71" i="16"/>
  <c r="O71" i="16" s="1"/>
  <c r="G123" i="16"/>
  <c r="O123" i="16" s="1"/>
  <c r="G138" i="16"/>
  <c r="O138" i="16" s="1"/>
  <c r="G109" i="16"/>
  <c r="O109" i="16" s="1"/>
  <c r="G52" i="16"/>
  <c r="O52" i="16" s="1"/>
  <c r="G69" i="16"/>
  <c r="O69" i="16" s="1"/>
  <c r="G66" i="16"/>
  <c r="O66" i="16" s="1"/>
  <c r="G75" i="16"/>
  <c r="O75" i="16" s="1"/>
  <c r="O29" i="22"/>
  <c r="U63" i="16"/>
  <c r="U114" i="16"/>
  <c r="U129" i="16"/>
  <c r="U100" i="16"/>
  <c r="R22" i="22"/>
  <c r="W22" i="22" s="1"/>
  <c r="L106" i="22" s="1"/>
  <c r="M106" i="22" s="1"/>
  <c r="O32" i="16"/>
  <c r="R32" i="16"/>
  <c r="M32" i="16"/>
  <c r="AL4" i="22"/>
  <c r="AL3" i="22"/>
  <c r="G111" i="16"/>
  <c r="O111" i="16" s="1"/>
  <c r="G83" i="16"/>
  <c r="O83" i="16" s="1"/>
  <c r="G86" i="16"/>
  <c r="O86" i="16" s="1"/>
  <c r="G81" i="16"/>
  <c r="O81" i="16" s="1"/>
  <c r="O73" i="38"/>
  <c r="O75" i="38" s="1"/>
  <c r="BG4" i="22"/>
  <c r="G47" i="16"/>
  <c r="O47" i="16" s="1"/>
  <c r="G68" i="16"/>
  <c r="O68" i="16" s="1"/>
  <c r="G126" i="16"/>
  <c r="O126" i="16" s="1"/>
  <c r="G136" i="16"/>
  <c r="O136" i="16" s="1"/>
  <c r="G125" i="16"/>
  <c r="O125" i="16" s="1"/>
  <c r="G97" i="16"/>
  <c r="O97" i="16" s="1"/>
  <c r="G107" i="16"/>
  <c r="O107" i="16" s="1"/>
  <c r="G78" i="16"/>
  <c r="O78" i="16" s="1"/>
  <c r="G74" i="16"/>
  <c r="O74" i="16" s="1"/>
  <c r="G67" i="16"/>
  <c r="O67" i="16" s="1"/>
  <c r="G65" i="16"/>
  <c r="O65" i="16" s="1"/>
  <c r="G89" i="16"/>
  <c r="O89" i="16" s="1"/>
  <c r="G127" i="16"/>
  <c r="O127" i="16" s="1"/>
  <c r="AI49" i="22"/>
  <c r="L49" i="22" s="1"/>
  <c r="T105" i="16"/>
  <c r="T94" i="16"/>
  <c r="T97" i="16"/>
  <c r="W77" i="16"/>
  <c r="W54" i="16"/>
  <c r="W125" i="16"/>
  <c r="W75" i="16"/>
  <c r="W118" i="16"/>
  <c r="W57" i="16"/>
  <c r="W129" i="16"/>
  <c r="W113" i="16"/>
  <c r="W64" i="16"/>
  <c r="W88" i="16"/>
  <c r="W132" i="16"/>
  <c r="W101" i="16"/>
  <c r="W91" i="16"/>
  <c r="W95" i="16"/>
  <c r="BE4" i="22"/>
  <c r="L101" i="16"/>
  <c r="J101" i="16" s="1"/>
  <c r="L96" i="16"/>
  <c r="J96" i="16" s="1"/>
  <c r="AW64" i="22" s="1"/>
  <c r="AU64" i="22" s="1"/>
  <c r="L81" i="16"/>
  <c r="J81" i="16" s="1"/>
  <c r="L60" i="16"/>
  <c r="L119" i="16"/>
  <c r="J119" i="16" s="1"/>
  <c r="L71" i="16"/>
  <c r="J71" i="16" s="1"/>
  <c r="L98" i="16"/>
  <c r="J98" i="16" s="1"/>
  <c r="L45" i="16"/>
  <c r="L125" i="16"/>
  <c r="J125" i="16" s="1"/>
  <c r="L65" i="16"/>
  <c r="J65" i="16" s="1"/>
  <c r="L51" i="16"/>
  <c r="L115" i="16"/>
  <c r="J115" i="16" s="1"/>
  <c r="L94" i="16"/>
  <c r="J94" i="16" s="1"/>
  <c r="L89" i="16"/>
  <c r="J89" i="16" s="1"/>
  <c r="L116" i="16"/>
  <c r="J116" i="16" s="1"/>
  <c r="L41" i="16"/>
  <c r="L84" i="16"/>
  <c r="J84" i="16" s="1"/>
  <c r="L74" i="16"/>
  <c r="J74" i="16" s="1"/>
  <c r="L138" i="16"/>
  <c r="J138" i="16" s="1"/>
  <c r="W85" i="16"/>
  <c r="W62" i="16"/>
  <c r="W130" i="16"/>
  <c r="W79" i="16"/>
  <c r="W122" i="16"/>
  <c r="W65" i="16"/>
  <c r="W137" i="16"/>
  <c r="W121" i="16"/>
  <c r="W68" i="16"/>
  <c r="W111" i="16"/>
  <c r="W136" i="16"/>
  <c r="W103" i="16"/>
  <c r="W96" i="16"/>
  <c r="W99" i="16"/>
  <c r="L117" i="16"/>
  <c r="J117" i="16" s="1"/>
  <c r="AW85" i="22" s="1"/>
  <c r="AU85" i="22" s="1"/>
  <c r="L112" i="16"/>
  <c r="J112" i="16" s="1"/>
  <c r="L102" i="16"/>
  <c r="J102" i="16" s="1"/>
  <c r="L92" i="16"/>
  <c r="J92" i="16" s="1"/>
  <c r="L135" i="16"/>
  <c r="J135" i="16" s="1"/>
  <c r="L87" i="16"/>
  <c r="J87" i="16" s="1"/>
  <c r="L114" i="16"/>
  <c r="J114" i="16" s="1"/>
  <c r="L61" i="16"/>
  <c r="J61" i="16" s="1"/>
  <c r="L43" i="16"/>
  <c r="L44" i="16"/>
  <c r="L88" i="16"/>
  <c r="J88" i="16" s="1"/>
  <c r="L52" i="16"/>
  <c r="L111" i="16"/>
  <c r="J111" i="16" s="1"/>
  <c r="L90" i="16"/>
  <c r="J90" i="16" s="1"/>
  <c r="W112" i="16"/>
  <c r="W70" i="16"/>
  <c r="W138" i="16"/>
  <c r="W83" i="16"/>
  <c r="W126" i="16"/>
  <c r="W73" i="16"/>
  <c r="W66" i="16"/>
  <c r="W134" i="16"/>
  <c r="W72" i="16"/>
  <c r="W115" i="16"/>
  <c r="W104" i="16"/>
  <c r="W98" i="16"/>
  <c r="W100" i="16"/>
  <c r="L133" i="16"/>
  <c r="J133" i="16" s="1"/>
  <c r="L128" i="16"/>
  <c r="J128" i="16" s="1"/>
  <c r="L118" i="16"/>
  <c r="J118" i="16" s="1"/>
  <c r="L97" i="16"/>
  <c r="J97" i="16" s="1"/>
  <c r="L108" i="16"/>
  <c r="J108" i="16" s="1"/>
  <c r="L75" i="16"/>
  <c r="J75" i="16" s="1"/>
  <c r="L77" i="16"/>
  <c r="J77" i="16" s="1"/>
  <c r="L59" i="16"/>
  <c r="L76" i="16"/>
  <c r="J76" i="16" s="1"/>
  <c r="L104" i="16"/>
  <c r="J104" i="16" s="1"/>
  <c r="L67" i="16"/>
  <c r="J67" i="16" s="1"/>
  <c r="L131" i="16"/>
  <c r="J131" i="16" s="1"/>
  <c r="L110" i="16"/>
  <c r="J110" i="16" s="1"/>
  <c r="L105" i="16"/>
  <c r="J105" i="16" s="1"/>
  <c r="AW73" i="22" s="1"/>
  <c r="AU73" i="22" s="1"/>
  <c r="L132" i="16"/>
  <c r="J132" i="16" s="1"/>
  <c r="L47" i="16"/>
  <c r="L127" i="16"/>
  <c r="J127" i="16" s="1"/>
  <c r="G129" i="16"/>
  <c r="O129" i="16" s="1"/>
  <c r="AI54" i="22"/>
  <c r="AJ54" i="22" s="1"/>
  <c r="AJ3" i="23"/>
  <c r="H18" i="37"/>
  <c r="E24" i="37"/>
  <c r="L197" i="23"/>
  <c r="AR198" i="23" s="1"/>
  <c r="N197" i="23"/>
  <c r="AT198" i="23" s="1"/>
  <c r="H197" i="23"/>
  <c r="AN198" i="23" s="1"/>
  <c r="T197" i="23"/>
  <c r="AB197" i="23"/>
  <c r="BH198" i="23" s="1"/>
  <c r="Z197" i="23"/>
  <c r="BF198" i="23" s="1"/>
  <c r="P197" i="23"/>
  <c r="AV198" i="23" s="1"/>
  <c r="J197" i="23"/>
  <c r="V194" i="23"/>
  <c r="R197" i="23"/>
  <c r="AX198" i="23" s="1"/>
  <c r="AB194" i="23"/>
  <c r="BH195" i="23" s="1"/>
  <c r="AY35" i="35"/>
  <c r="H20" i="37"/>
  <c r="N11" i="39"/>
  <c r="L11" i="39" s="1"/>
  <c r="T400" i="30"/>
  <c r="U400" i="30" s="1"/>
  <c r="T272" i="30"/>
  <c r="U272" i="30" s="1"/>
  <c r="T111" i="30"/>
  <c r="U111" i="30" s="1"/>
  <c r="T250" i="30"/>
  <c r="U250" i="30" s="1"/>
  <c r="T426" i="30"/>
  <c r="U426" i="30" s="1"/>
  <c r="T234" i="30"/>
  <c r="U234" i="30" s="1"/>
  <c r="T242" i="30"/>
  <c r="U242" i="30" s="1"/>
  <c r="T139" i="30"/>
  <c r="U139" i="30" s="1"/>
  <c r="T53" i="30"/>
  <c r="T447" i="30"/>
  <c r="U447" i="30" s="1"/>
  <c r="T142" i="30"/>
  <c r="U142" i="30" s="1"/>
  <c r="T450" i="30"/>
  <c r="U450" i="30" s="1"/>
  <c r="T441" i="30"/>
  <c r="U441" i="30" s="1"/>
  <c r="T517" i="30"/>
  <c r="U517" i="30" s="1"/>
  <c r="T367" i="30"/>
  <c r="U367" i="30" s="1"/>
  <c r="T77" i="30"/>
  <c r="U77" i="30" s="1"/>
  <c r="T116" i="30"/>
  <c r="U116" i="30" s="1"/>
  <c r="T130" i="30"/>
  <c r="U130" i="30" s="1"/>
  <c r="T152" i="30"/>
  <c r="U152" i="30" s="1"/>
  <c r="T511" i="30"/>
  <c r="U511" i="30" s="1"/>
  <c r="T397" i="30"/>
  <c r="U397" i="30" s="1"/>
  <c r="T429" i="30"/>
  <c r="U429" i="30" s="1"/>
  <c r="T108" i="30"/>
  <c r="U108" i="30" s="1"/>
  <c r="T320" i="30"/>
  <c r="U320" i="30" s="1"/>
  <c r="T524" i="30"/>
  <c r="U524" i="30" s="1"/>
  <c r="T471" i="30"/>
  <c r="U471" i="30" s="1"/>
  <c r="T28" i="30"/>
  <c r="T366" i="30"/>
  <c r="U366" i="30" s="1"/>
  <c r="T310" i="30"/>
  <c r="U310" i="30" s="1"/>
  <c r="T543" i="30"/>
  <c r="U543" i="30" s="1"/>
  <c r="T163" i="30"/>
  <c r="U163" i="30" s="1"/>
  <c r="T71" i="30"/>
  <c r="U71" i="30" s="1"/>
  <c r="T455" i="30"/>
  <c r="U455" i="30" s="1"/>
  <c r="T576" i="30"/>
  <c r="U576" i="30" s="1"/>
  <c r="T398" i="30"/>
  <c r="U398" i="30" s="1"/>
  <c r="T572" i="30"/>
  <c r="U572" i="30" s="1"/>
  <c r="T166" i="30"/>
  <c r="U166" i="30" s="1"/>
  <c r="T513" i="30"/>
  <c r="U513" i="30" s="1"/>
  <c r="T388" i="30"/>
  <c r="U388" i="30" s="1"/>
  <c r="T544" i="30"/>
  <c r="U544" i="30" s="1"/>
  <c r="T43" i="30"/>
  <c r="T266" i="30"/>
  <c r="U266" i="30" s="1"/>
  <c r="T325" i="30"/>
  <c r="U325" i="30" s="1"/>
  <c r="T268" i="30"/>
  <c r="U268" i="30" s="1"/>
  <c r="T518" i="30"/>
  <c r="U518" i="30" s="1"/>
  <c r="T516" i="30"/>
  <c r="U516" i="30" s="1"/>
  <c r="T483" i="30"/>
  <c r="U483" i="30" s="1"/>
  <c r="T575" i="30"/>
  <c r="U575" i="30" s="1"/>
  <c r="T164" i="30"/>
  <c r="U164" i="30" s="1"/>
  <c r="T210" i="30"/>
  <c r="U210" i="30" s="1"/>
  <c r="T412" i="30"/>
  <c r="U412" i="30" s="1"/>
  <c r="T438" i="30"/>
  <c r="U438" i="30" s="1"/>
  <c r="T470" i="30"/>
  <c r="U470" i="30" s="1"/>
  <c r="T385" i="30"/>
  <c r="U385" i="30" s="1"/>
  <c r="T49" i="30"/>
  <c r="T143" i="30"/>
  <c r="U143" i="30" s="1"/>
  <c r="T316" i="30"/>
  <c r="U316" i="30" s="1"/>
  <c r="T76" i="30"/>
  <c r="U76" i="30" s="1"/>
  <c r="T590" i="30"/>
  <c r="U590" i="30" s="1"/>
  <c r="T379" i="30"/>
  <c r="U379" i="30" s="1"/>
  <c r="T542" i="30"/>
  <c r="U542" i="30" s="1"/>
  <c r="T120" i="30"/>
  <c r="U120" i="30" s="1"/>
  <c r="T82" i="30"/>
  <c r="U82" i="30" s="1"/>
  <c r="T356" i="30"/>
  <c r="U356" i="30" s="1"/>
  <c r="T294" i="30"/>
  <c r="U294" i="30" s="1"/>
  <c r="T105" i="30"/>
  <c r="U105" i="30" s="1"/>
  <c r="T408" i="30"/>
  <c r="U408" i="30" s="1"/>
  <c r="T98" i="30"/>
  <c r="U98" i="30" s="1"/>
  <c r="T135" i="30"/>
  <c r="U135" i="30" s="1"/>
  <c r="T514" i="30"/>
  <c r="U514" i="30" s="1"/>
  <c r="T334" i="30"/>
  <c r="U334" i="30" s="1"/>
  <c r="T550" i="30"/>
  <c r="U550" i="30" s="1"/>
  <c r="T138" i="30"/>
  <c r="U138" i="30" s="1"/>
  <c r="T205" i="30"/>
  <c r="U205" i="30" s="1"/>
  <c r="T124" i="30"/>
  <c r="U124" i="30" s="1"/>
  <c r="T430" i="30"/>
  <c r="U430" i="30" s="1"/>
  <c r="T79" i="30"/>
  <c r="U79" i="30" s="1"/>
  <c r="T422" i="30"/>
  <c r="U422" i="30" s="1"/>
  <c r="T532" i="30"/>
  <c r="U532" i="30" s="1"/>
  <c r="T582" i="30"/>
  <c r="U582" i="30" s="1"/>
  <c r="T587" i="30"/>
  <c r="U587" i="30" s="1"/>
  <c r="T80" i="30"/>
  <c r="U80" i="30" s="1"/>
  <c r="T445" i="30"/>
  <c r="U445" i="30" s="1"/>
  <c r="T287" i="30"/>
  <c r="U287" i="30" s="1"/>
  <c r="T547" i="30"/>
  <c r="U547" i="30" s="1"/>
  <c r="T300" i="30"/>
  <c r="U300" i="30" s="1"/>
  <c r="T395" i="30"/>
  <c r="U395" i="30" s="1"/>
  <c r="T421" i="30"/>
  <c r="U421" i="30" s="1"/>
  <c r="T433" i="30"/>
  <c r="U433" i="30" s="1"/>
  <c r="T136" i="30"/>
  <c r="U136" i="30" s="1"/>
  <c r="T126" i="30"/>
  <c r="U126" i="30" s="1"/>
  <c r="T339" i="30"/>
  <c r="U339" i="30" s="1"/>
  <c r="T475" i="30"/>
  <c r="U475" i="30" s="1"/>
  <c r="T72" i="30"/>
  <c r="U72" i="30" s="1"/>
  <c r="T227" i="30"/>
  <c r="U227" i="30" s="1"/>
  <c r="T184" i="30"/>
  <c r="U184" i="30" s="1"/>
  <c r="T62" i="30"/>
  <c r="U62" i="30" s="1"/>
  <c r="T488" i="30"/>
  <c r="U488" i="30" s="1"/>
  <c r="T394" i="30"/>
  <c r="U394" i="30" s="1"/>
  <c r="T56" i="30"/>
  <c r="U56" i="30" s="1"/>
  <c r="T560" i="30"/>
  <c r="U560" i="30" s="1"/>
  <c r="T202" i="30"/>
  <c r="U202" i="30" s="1"/>
  <c r="T552" i="30"/>
  <c r="U552" i="30" s="1"/>
  <c r="T469" i="30"/>
  <c r="U469" i="30" s="1"/>
  <c r="T319" i="30"/>
  <c r="U319" i="30" s="1"/>
  <c r="T132" i="30"/>
  <c r="U132" i="30" s="1"/>
  <c r="T500" i="30"/>
  <c r="U500" i="30" s="1"/>
  <c r="T232" i="30"/>
  <c r="U232" i="30" s="1"/>
  <c r="T239" i="30"/>
  <c r="U239" i="30" s="1"/>
  <c r="T504" i="30"/>
  <c r="U504" i="30" s="1"/>
  <c r="T182" i="30"/>
  <c r="U182" i="30" s="1"/>
  <c r="T567" i="30"/>
  <c r="U567" i="30" s="1"/>
  <c r="T104" i="30"/>
  <c r="U104" i="30" s="1"/>
  <c r="T546" i="30"/>
  <c r="U546" i="30" s="1"/>
  <c r="T57" i="30"/>
  <c r="U57" i="30" s="1"/>
  <c r="T435" i="30"/>
  <c r="U435" i="30" s="1"/>
  <c r="T165" i="30"/>
  <c r="U165" i="30" s="1"/>
  <c r="T399" i="30"/>
  <c r="U399" i="30" s="1"/>
  <c r="T327" i="30"/>
  <c r="U327" i="30" s="1"/>
  <c r="T305" i="30"/>
  <c r="U305" i="30" s="1"/>
  <c r="T417" i="30"/>
  <c r="U417" i="30" s="1"/>
  <c r="T18" i="30"/>
  <c r="U18" i="30" s="1"/>
  <c r="T486" i="30"/>
  <c r="U486" i="30" s="1"/>
  <c r="T117" i="30"/>
  <c r="U117" i="30" s="1"/>
  <c r="T249" i="30"/>
  <c r="U249" i="30" s="1"/>
  <c r="T345" i="30"/>
  <c r="U345" i="30" s="1"/>
  <c r="T404" i="30"/>
  <c r="U404" i="30" s="1"/>
  <c r="T127" i="30"/>
  <c r="U127" i="30" s="1"/>
  <c r="T218" i="30"/>
  <c r="U218" i="30" s="1"/>
  <c r="T162" i="30"/>
  <c r="U162" i="30" s="1"/>
  <c r="T481" i="30"/>
  <c r="U481" i="30" s="1"/>
  <c r="T419" i="30"/>
  <c r="U419" i="30" s="1"/>
  <c r="T414" i="30"/>
  <c r="U414" i="30" s="1"/>
  <c r="T214" i="30"/>
  <c r="U214" i="30" s="1"/>
  <c r="T338" i="30"/>
  <c r="U338" i="30" s="1"/>
  <c r="T503" i="30"/>
  <c r="U503" i="30" s="1"/>
  <c r="T559" i="30"/>
  <c r="U559" i="30" s="1"/>
  <c r="T593" i="30"/>
  <c r="U593" i="30" s="1"/>
  <c r="T510" i="30"/>
  <c r="U510" i="30" s="1"/>
  <c r="T273" i="30"/>
  <c r="U273" i="30" s="1"/>
  <c r="T61" i="30"/>
  <c r="U61" i="30" s="1"/>
  <c r="T170" i="30"/>
  <c r="U170" i="30" s="1"/>
  <c r="T219" i="30"/>
  <c r="U219" i="30" s="1"/>
  <c r="T343" i="30"/>
  <c r="U343" i="30" s="1"/>
  <c r="T145" i="30"/>
  <c r="U145" i="30" s="1"/>
  <c r="T530" i="30"/>
  <c r="U530" i="30" s="1"/>
  <c r="T333" i="30"/>
  <c r="U333" i="30" s="1"/>
  <c r="T374" i="30"/>
  <c r="U374" i="30" s="1"/>
  <c r="T33" i="30"/>
  <c r="T101" i="30"/>
  <c r="U101" i="30" s="1"/>
  <c r="T346" i="30"/>
  <c r="U346" i="30" s="1"/>
  <c r="T451" i="30"/>
  <c r="U451" i="30" s="1"/>
  <c r="T393" i="30"/>
  <c r="U393" i="30" s="1"/>
  <c r="T89" i="30"/>
  <c r="U89" i="30" s="1"/>
  <c r="T463" i="30"/>
  <c r="U463" i="30" s="1"/>
  <c r="T413" i="30"/>
  <c r="U413" i="30" s="1"/>
  <c r="T119" i="30"/>
  <c r="U119" i="30" s="1"/>
  <c r="T245" i="30"/>
  <c r="U245" i="30" s="1"/>
  <c r="T341" i="30"/>
  <c r="U341" i="30" s="1"/>
  <c r="T531" i="30"/>
  <c r="U531" i="30" s="1"/>
  <c r="T355" i="30"/>
  <c r="U355" i="30" s="1"/>
  <c r="T99" i="30"/>
  <c r="U99" i="30" s="1"/>
  <c r="T212" i="30"/>
  <c r="U212" i="30" s="1"/>
  <c r="T427" i="30"/>
  <c r="U427" i="30" s="1"/>
  <c r="T436" i="30"/>
  <c r="U436" i="30" s="1"/>
  <c r="T75" i="30"/>
  <c r="U75" i="30" s="1"/>
  <c r="T549" i="30"/>
  <c r="U549" i="30" s="1"/>
  <c r="T351" i="30"/>
  <c r="U351" i="30" s="1"/>
  <c r="T195" i="30"/>
  <c r="U195" i="30" s="1"/>
  <c r="T168" i="30"/>
  <c r="U168" i="30" s="1"/>
  <c r="T596" i="30"/>
  <c r="U596" i="30" s="1"/>
  <c r="T324" i="30"/>
  <c r="U324" i="30" s="1"/>
  <c r="T148" i="30"/>
  <c r="U148" i="30" s="1"/>
  <c r="T20" i="30"/>
  <c r="T207" i="30"/>
  <c r="U207" i="30" s="1"/>
  <c r="T478" i="30"/>
  <c r="U478" i="30" s="1"/>
  <c r="T499" i="30"/>
  <c r="U499" i="30" s="1"/>
  <c r="T318" i="30"/>
  <c r="U318" i="30" s="1"/>
  <c r="T29" i="30"/>
  <c r="U29" i="30" s="1"/>
  <c r="T38" i="30"/>
  <c r="U38" i="30" s="1"/>
  <c r="T41" i="30"/>
  <c r="U41" i="30" s="1"/>
  <c r="T473" i="30"/>
  <c r="U473" i="30" s="1"/>
  <c r="T308" i="30"/>
  <c r="U308" i="30" s="1"/>
  <c r="T580" i="30"/>
  <c r="U580" i="30" s="1"/>
  <c r="T125" i="30"/>
  <c r="U125" i="30" s="1"/>
  <c r="T22" i="30"/>
  <c r="T506" i="30"/>
  <c r="U506" i="30" s="1"/>
  <c r="T387" i="30"/>
  <c r="U387" i="30" s="1"/>
  <c r="T221" i="30"/>
  <c r="U221" i="30" s="1"/>
  <c r="T65" i="30"/>
  <c r="U65" i="30" s="1"/>
  <c r="T449" i="30"/>
  <c r="U449" i="30" s="1"/>
  <c r="T406" i="30"/>
  <c r="U406" i="30" s="1"/>
  <c r="T187" i="30"/>
  <c r="U187" i="30" s="1"/>
  <c r="T134" i="30"/>
  <c r="U134" i="30" s="1"/>
  <c r="T230" i="30"/>
  <c r="U230" i="30" s="1"/>
  <c r="T354" i="30"/>
  <c r="U354" i="30" s="1"/>
  <c r="T282" i="30"/>
  <c r="U282" i="30" s="1"/>
  <c r="T491" i="30"/>
  <c r="U491" i="30" s="1"/>
  <c r="T113" i="30"/>
  <c r="U113" i="30" s="1"/>
  <c r="T561" i="30"/>
  <c r="U561" i="30" s="1"/>
  <c r="T418" i="30"/>
  <c r="U418" i="30" s="1"/>
  <c r="T17" i="30"/>
  <c r="T235" i="30"/>
  <c r="U235" i="30" s="1"/>
  <c r="T359" i="30"/>
  <c r="U359" i="30" s="1"/>
  <c r="T600" i="30"/>
  <c r="U600" i="30" s="1"/>
  <c r="T299" i="30"/>
  <c r="U299" i="30" s="1"/>
  <c r="T240" i="30"/>
  <c r="U240" i="30" s="1"/>
  <c r="T91" i="30"/>
  <c r="U91" i="30" s="1"/>
  <c r="T186" i="30"/>
  <c r="U186" i="30" s="1"/>
  <c r="T206" i="30"/>
  <c r="U206" i="30" s="1"/>
  <c r="T362" i="30"/>
  <c r="U362" i="30" s="1"/>
  <c r="T495" i="30"/>
  <c r="U495" i="30" s="1"/>
  <c r="T229" i="30"/>
  <c r="U229" i="30" s="1"/>
  <c r="T507" i="30"/>
  <c r="U507" i="30" s="1"/>
  <c r="T521" i="30"/>
  <c r="U521" i="30" s="1"/>
  <c r="T244" i="30"/>
  <c r="U244" i="30" s="1"/>
  <c r="T364" i="30"/>
  <c r="U364" i="30" s="1"/>
  <c r="T42" i="30"/>
  <c r="U42" i="30" s="1"/>
  <c r="T161" i="30"/>
  <c r="U161" i="30" s="1"/>
  <c r="T178" i="30"/>
  <c r="U178" i="30" s="1"/>
  <c r="T574" i="30"/>
  <c r="U574" i="30" s="1"/>
  <c r="T353" i="30"/>
  <c r="U353" i="30" s="1"/>
  <c r="T31" i="30"/>
  <c r="T246" i="30"/>
  <c r="U246" i="30" s="1"/>
  <c r="T370" i="30"/>
  <c r="U370" i="30" s="1"/>
  <c r="T519" i="30"/>
  <c r="U519" i="30" s="1"/>
  <c r="T555" i="30"/>
  <c r="U555" i="30" s="1"/>
  <c r="T529" i="30"/>
  <c r="U529" i="30" s="1"/>
  <c r="T437" i="30"/>
  <c r="U437" i="30" s="1"/>
  <c r="T352" i="30"/>
  <c r="U352" i="30" s="1"/>
  <c r="T47" i="30"/>
  <c r="T129" i="30"/>
  <c r="U129" i="30" s="1"/>
  <c r="T158" i="30"/>
  <c r="U158" i="30" s="1"/>
  <c r="T269" i="30"/>
  <c r="U269" i="30" s="1"/>
  <c r="T392" i="30"/>
  <c r="U392" i="30" s="1"/>
  <c r="T589" i="30"/>
  <c r="U589" i="30" s="1"/>
  <c r="T494" i="30"/>
  <c r="U494" i="30" s="1"/>
  <c r="T267" i="30"/>
  <c r="U267" i="30" s="1"/>
  <c r="T160" i="30"/>
  <c r="U160" i="30" s="1"/>
  <c r="T255" i="30"/>
  <c r="U255" i="30" s="1"/>
  <c r="T102" i="30"/>
  <c r="U102" i="30" s="1"/>
  <c r="T222" i="30"/>
  <c r="U222" i="30" s="1"/>
  <c r="T523" i="30"/>
  <c r="U523" i="30" s="1"/>
  <c r="T233" i="30"/>
  <c r="U233" i="30" s="1"/>
  <c r="T439" i="30"/>
  <c r="U439" i="30" s="1"/>
  <c r="T243" i="30"/>
  <c r="U243" i="30" s="1"/>
  <c r="T34" i="30"/>
  <c r="T390" i="30"/>
  <c r="U390" i="30" s="1"/>
  <c r="T423" i="30"/>
  <c r="U423" i="30" s="1"/>
  <c r="T551" i="30"/>
  <c r="U551" i="30" s="1"/>
  <c r="T261" i="30"/>
  <c r="U261" i="30" s="1"/>
  <c r="T174" i="30"/>
  <c r="U174" i="30" s="1"/>
  <c r="T431" i="30"/>
  <c r="U431" i="30" s="1"/>
  <c r="T25" i="30"/>
  <c r="T39" i="30"/>
  <c r="T131" i="30"/>
  <c r="U131" i="30" s="1"/>
  <c r="T396" i="30"/>
  <c r="U396" i="30" s="1"/>
  <c r="T241" i="30"/>
  <c r="U241" i="30" s="1"/>
  <c r="T81" i="30"/>
  <c r="U81" i="30" s="1"/>
  <c r="T21" i="30"/>
  <c r="T458" i="30"/>
  <c r="U458" i="30" s="1"/>
  <c r="T289" i="30"/>
  <c r="U289" i="30" s="1"/>
  <c r="T32" i="30"/>
  <c r="T509" i="30"/>
  <c r="U509" i="30" s="1"/>
  <c r="T349" i="30"/>
  <c r="U349" i="30" s="1"/>
  <c r="T176" i="30"/>
  <c r="U176" i="30" s="1"/>
  <c r="T24" i="30"/>
  <c r="T146" i="30"/>
  <c r="U146" i="30" s="1"/>
  <c r="T329" i="30"/>
  <c r="U329" i="30" s="1"/>
  <c r="T66" i="30"/>
  <c r="U66" i="30" s="1"/>
  <c r="T223" i="30"/>
  <c r="U223" i="30" s="1"/>
  <c r="T140" i="30"/>
  <c r="U140" i="30" s="1"/>
  <c r="T588" i="30"/>
  <c r="U588" i="30" s="1"/>
  <c r="T411" i="30"/>
  <c r="U411" i="30" s="1"/>
  <c r="T177" i="30"/>
  <c r="U177" i="30" s="1"/>
  <c r="T577" i="30"/>
  <c r="U577" i="30" s="1"/>
  <c r="T453" i="30"/>
  <c r="U453" i="30" s="1"/>
  <c r="T386" i="30"/>
  <c r="U386" i="30" s="1"/>
  <c r="T199" i="30"/>
  <c r="U199" i="30" s="1"/>
  <c r="T306" i="30"/>
  <c r="U306" i="30" s="1"/>
  <c r="T401" i="30"/>
  <c r="U401" i="30" s="1"/>
  <c r="T443" i="30"/>
  <c r="U443" i="30" s="1"/>
  <c r="T97" i="30"/>
  <c r="U97" i="30" s="1"/>
  <c r="T114" i="30"/>
  <c r="U114" i="30" s="1"/>
  <c r="T465" i="30"/>
  <c r="U465" i="30" s="1"/>
  <c r="T403" i="30"/>
  <c r="U403" i="30" s="1"/>
  <c r="T147" i="30"/>
  <c r="U147" i="30" s="1"/>
  <c r="T109" i="30"/>
  <c r="U109" i="30" s="1"/>
  <c r="T95" i="30"/>
  <c r="U95" i="30" s="1"/>
  <c r="T311" i="30"/>
  <c r="U311" i="30" s="1"/>
  <c r="T424" i="30"/>
  <c r="U424" i="30" s="1"/>
  <c r="T493" i="30"/>
  <c r="U493" i="30" s="1"/>
  <c r="T432" i="30"/>
  <c r="U432" i="30" s="1"/>
  <c r="T344" i="30"/>
  <c r="U344" i="30" s="1"/>
  <c r="T96" i="30"/>
  <c r="U96" i="30" s="1"/>
  <c r="T103" i="30"/>
  <c r="U103" i="30" s="1"/>
  <c r="T434" i="30"/>
  <c r="U434" i="30" s="1"/>
  <c r="T520" i="30"/>
  <c r="U520" i="30" s="1"/>
  <c r="T425" i="30"/>
  <c r="U425" i="30" s="1"/>
  <c r="T153" i="30"/>
  <c r="U153" i="30" s="1"/>
  <c r="T484" i="30"/>
  <c r="U484" i="30" s="1"/>
  <c r="T258" i="30"/>
  <c r="U258" i="30" s="1"/>
  <c r="T215" i="30"/>
  <c r="U215" i="30" s="1"/>
  <c r="T141" i="30"/>
  <c r="U141" i="30" s="1"/>
  <c r="T336" i="30"/>
  <c r="U336" i="30" s="1"/>
  <c r="T461" i="30"/>
  <c r="U461" i="30" s="1"/>
  <c r="T384" i="30"/>
  <c r="U384" i="30" s="1"/>
  <c r="T203" i="30"/>
  <c r="U203" i="30" s="1"/>
  <c r="T15" i="30"/>
  <c r="T156" i="30"/>
  <c r="U156" i="30" s="1"/>
  <c r="T536" i="30"/>
  <c r="U536" i="30" s="1"/>
  <c r="T460" i="30"/>
  <c r="U460" i="30" s="1"/>
  <c r="T211" i="30"/>
  <c r="U211" i="30" s="1"/>
  <c r="T70" i="30"/>
  <c r="U70" i="30" s="1"/>
  <c r="T515" i="30"/>
  <c r="U515" i="30" s="1"/>
  <c r="T534" i="30"/>
  <c r="U534" i="30" s="1"/>
  <c r="T468" i="30"/>
  <c r="U468" i="30" s="1"/>
  <c r="T180" i="30"/>
  <c r="U180" i="30" s="1"/>
  <c r="T84" i="30"/>
  <c r="U84" i="30" s="1"/>
  <c r="T279" i="30"/>
  <c r="U279" i="30" s="1"/>
  <c r="T209" i="30"/>
  <c r="U209" i="30" s="1"/>
  <c r="T373" i="30"/>
  <c r="U373" i="30" s="1"/>
  <c r="T150" i="30"/>
  <c r="U150" i="30" s="1"/>
  <c r="T526" i="30"/>
  <c r="U526" i="30" s="1"/>
  <c r="T231" i="30"/>
  <c r="U231" i="30" s="1"/>
  <c r="T189" i="30"/>
  <c r="U189" i="30" s="1"/>
  <c r="T284" i="30"/>
  <c r="U284" i="30" s="1"/>
  <c r="T452" i="30"/>
  <c r="U452" i="30" s="1"/>
  <c r="T262" i="30"/>
  <c r="U262" i="30" s="1"/>
  <c r="T85" i="30"/>
  <c r="U85" i="30" s="1"/>
  <c r="T528" i="30"/>
  <c r="U528" i="30" s="1"/>
  <c r="T270" i="30"/>
  <c r="U270" i="30" s="1"/>
  <c r="T288" i="30"/>
  <c r="U288" i="30" s="1"/>
  <c r="T597" i="30"/>
  <c r="U597" i="30" s="1"/>
  <c r="T512" i="30"/>
  <c r="U512" i="30" s="1"/>
  <c r="T226" i="30"/>
  <c r="U226" i="30" s="1"/>
  <c r="T93" i="30"/>
  <c r="U93" i="30" s="1"/>
  <c r="T188" i="30"/>
  <c r="U188" i="30" s="1"/>
  <c r="T501" i="30"/>
  <c r="U501" i="30" s="1"/>
  <c r="T290" i="30"/>
  <c r="U290" i="30" s="1"/>
  <c r="T304" i="30"/>
  <c r="U304" i="30" s="1"/>
  <c r="T363" i="30"/>
  <c r="U363" i="30" s="1"/>
  <c r="T59" i="30"/>
  <c r="U59" i="30" s="1"/>
  <c r="T68" i="30"/>
  <c r="U68" i="30" s="1"/>
  <c r="T332" i="30"/>
  <c r="U332" i="30" s="1"/>
  <c r="T191" i="30"/>
  <c r="U191" i="30" s="1"/>
  <c r="T591" i="30"/>
  <c r="U591" i="30" s="1"/>
  <c r="T157" i="30"/>
  <c r="U157" i="30" s="1"/>
  <c r="T502" i="30"/>
  <c r="U502" i="30" s="1"/>
  <c r="T554" i="30"/>
  <c r="U554" i="30" s="1"/>
  <c r="T149" i="30"/>
  <c r="U149" i="30" s="1"/>
  <c r="T217" i="30"/>
  <c r="U217" i="30" s="1"/>
  <c r="T314" i="30"/>
  <c r="U314" i="30" s="1"/>
  <c r="T594" i="30"/>
  <c r="U594" i="30" s="1"/>
  <c r="T159" i="30"/>
  <c r="U159" i="30" s="1"/>
  <c r="T538" i="30"/>
  <c r="U538" i="30" s="1"/>
  <c r="T23" i="30"/>
  <c r="T322" i="30"/>
  <c r="U322" i="30" s="1"/>
  <c r="T251" i="30"/>
  <c r="U251" i="30" s="1"/>
  <c r="T19" i="30"/>
  <c r="T236" i="30"/>
  <c r="U236" i="30" s="1"/>
  <c r="T348" i="30"/>
  <c r="U348" i="30" s="1"/>
  <c r="T118" i="30"/>
  <c r="U118" i="30" s="1"/>
  <c r="T527" i="30"/>
  <c r="U527" i="30" s="1"/>
  <c r="T428" i="30"/>
  <c r="U428" i="30" s="1"/>
  <c r="T315" i="30"/>
  <c r="U315" i="30" s="1"/>
  <c r="T183" i="30"/>
  <c r="U183" i="30" s="1"/>
  <c r="T196" i="30"/>
  <c r="U196" i="30" s="1"/>
  <c r="T389" i="30"/>
  <c r="U389" i="30" s="1"/>
  <c r="T58" i="30"/>
  <c r="U58" i="30" s="1"/>
  <c r="T391" i="30"/>
  <c r="U391" i="30" s="1"/>
  <c r="T448" i="30"/>
  <c r="U448" i="30" s="1"/>
  <c r="T175" i="30"/>
  <c r="U175" i="30" s="1"/>
  <c r="T298" i="30"/>
  <c r="U298" i="30" s="1"/>
  <c r="T73" i="30"/>
  <c r="U73" i="30" s="1"/>
  <c r="T342" i="30"/>
  <c r="U342" i="30" s="1"/>
  <c r="T48" i="30"/>
  <c r="T36" i="30"/>
  <c r="T228" i="30"/>
  <c r="U228" i="30" s="1"/>
  <c r="T578" i="30"/>
  <c r="U578" i="30" s="1"/>
  <c r="T487" i="30"/>
  <c r="U487" i="30" s="1"/>
  <c r="T275" i="30"/>
  <c r="U275" i="30" s="1"/>
  <c r="T476" i="30"/>
  <c r="U476" i="30" s="1"/>
  <c r="T446" i="30"/>
  <c r="U446" i="30" s="1"/>
  <c r="T78" i="30"/>
  <c r="U78" i="30" s="1"/>
  <c r="T377" i="30"/>
  <c r="U377" i="30" s="1"/>
  <c r="T285" i="30"/>
  <c r="U285" i="30" s="1"/>
  <c r="T128" i="30"/>
  <c r="U128" i="30" s="1"/>
  <c r="T557" i="30"/>
  <c r="U557" i="30" s="1"/>
  <c r="T54" i="30"/>
  <c r="U54" i="30" s="1"/>
  <c r="T83" i="30"/>
  <c r="U83" i="30" s="1"/>
  <c r="T497" i="30"/>
  <c r="U497" i="30" s="1"/>
  <c r="T278" i="30"/>
  <c r="U278" i="30" s="1"/>
  <c r="T498" i="30"/>
  <c r="U498" i="30" s="1"/>
  <c r="T489" i="30"/>
  <c r="U489" i="30" s="1"/>
  <c r="T88" i="30"/>
  <c r="U88" i="30" s="1"/>
  <c r="T35" i="30"/>
  <c r="T309" i="30"/>
  <c r="U309" i="30" s="1"/>
  <c r="T571" i="30"/>
  <c r="U571" i="30" s="1"/>
  <c r="T579" i="30"/>
  <c r="U579" i="30" s="1"/>
  <c r="T540" i="30"/>
  <c r="U540" i="30" s="1"/>
  <c r="T595" i="30"/>
  <c r="U595" i="30" s="1"/>
  <c r="T181" i="30"/>
  <c r="U181" i="30" s="1"/>
  <c r="T564" i="30"/>
  <c r="U564" i="30" s="1"/>
  <c r="T323" i="30"/>
  <c r="U323" i="30" s="1"/>
  <c r="T326" i="30"/>
  <c r="U326" i="30" s="1"/>
  <c r="T90" i="30"/>
  <c r="U90" i="30" s="1"/>
  <c r="T60" i="30"/>
  <c r="U60" i="30" s="1"/>
  <c r="T194" i="30"/>
  <c r="U194" i="30" s="1"/>
  <c r="T563" i="30"/>
  <c r="U563" i="30" s="1"/>
  <c r="T27" i="30"/>
  <c r="U27" i="30" s="1"/>
  <c r="T213" i="30"/>
  <c r="U213" i="30" s="1"/>
  <c r="T286" i="30"/>
  <c r="U286" i="30" s="1"/>
  <c r="T375" i="30"/>
  <c r="U375" i="30" s="1"/>
  <c r="T171" i="30"/>
  <c r="U171" i="30" s="1"/>
  <c r="T110" i="30"/>
  <c r="U110" i="30" s="1"/>
  <c r="T274" i="30"/>
  <c r="U274" i="30" s="1"/>
  <c r="T220" i="30"/>
  <c r="U220" i="30" s="1"/>
  <c r="T482" i="30"/>
  <c r="U482" i="30" s="1"/>
  <c r="T151" i="30"/>
  <c r="U151" i="30" s="1"/>
  <c r="T14" i="30"/>
  <c r="T225" i="30"/>
  <c r="U225" i="30" s="1"/>
  <c r="T121" i="30"/>
  <c r="U121" i="30" s="1"/>
  <c r="T301" i="30"/>
  <c r="U301" i="30" s="1"/>
  <c r="T402" i="30"/>
  <c r="U402" i="30" s="1"/>
  <c r="T485" i="30"/>
  <c r="U485" i="30" s="1"/>
  <c r="T154" i="30"/>
  <c r="U154" i="30" s="1"/>
  <c r="T371" i="30"/>
  <c r="U371" i="30" s="1"/>
  <c r="T581" i="30"/>
  <c r="U581" i="30" s="1"/>
  <c r="T64" i="30"/>
  <c r="U64" i="30" s="1"/>
  <c r="T263" i="30"/>
  <c r="U263" i="30" s="1"/>
  <c r="T291" i="30"/>
  <c r="U291" i="30" s="1"/>
  <c r="T347" i="30"/>
  <c r="U347" i="30" s="1"/>
  <c r="T26" i="30"/>
  <c r="U26" i="30" s="1"/>
  <c r="T100" i="30"/>
  <c r="U100" i="30" s="1"/>
  <c r="T276" i="30"/>
  <c r="U276" i="30" s="1"/>
  <c r="T296" i="30"/>
  <c r="U296" i="30" s="1"/>
  <c r="T566" i="30"/>
  <c r="U566" i="30" s="1"/>
  <c r="T360" i="30"/>
  <c r="U360" i="30" s="1"/>
  <c r="T381" i="30"/>
  <c r="U381" i="30" s="1"/>
  <c r="T224" i="30"/>
  <c r="U224" i="30" s="1"/>
  <c r="T190" i="30"/>
  <c r="U190" i="30" s="1"/>
  <c r="T409" i="30"/>
  <c r="U409" i="30" s="1"/>
  <c r="T167" i="30"/>
  <c r="U167" i="30" s="1"/>
  <c r="T256" i="30"/>
  <c r="U256" i="30" s="1"/>
  <c r="T37" i="30"/>
  <c r="U37" i="30" s="1"/>
  <c r="T248" i="30"/>
  <c r="U248" i="30" s="1"/>
  <c r="T568" i="30"/>
  <c r="U568" i="30" s="1"/>
  <c r="T459" i="30"/>
  <c r="U459" i="30" s="1"/>
  <c r="T254" i="30"/>
  <c r="U254" i="30" s="1"/>
  <c r="T303" i="30"/>
  <c r="U303" i="30" s="1"/>
  <c r="T265" i="30"/>
  <c r="U265" i="30" s="1"/>
  <c r="T361" i="30"/>
  <c r="U361" i="30" s="1"/>
  <c r="T253" i="30"/>
  <c r="U253" i="30" s="1"/>
  <c r="T350" i="30"/>
  <c r="U350" i="30" s="1"/>
  <c r="T335" i="30"/>
  <c r="U335" i="30" s="1"/>
  <c r="T277" i="30"/>
  <c r="U277" i="30" s="1"/>
  <c r="T106" i="30"/>
  <c r="U106" i="30" s="1"/>
  <c r="T281" i="30"/>
  <c r="U281" i="30" s="1"/>
  <c r="T368" i="30"/>
  <c r="U368" i="30" s="1"/>
  <c r="T313" i="30"/>
  <c r="U313" i="30" s="1"/>
  <c r="T456" i="30"/>
  <c r="U456" i="30" s="1"/>
  <c r="T52" i="30"/>
  <c r="T457" i="30"/>
  <c r="U457" i="30" s="1"/>
  <c r="T548" i="30"/>
  <c r="U548" i="30" s="1"/>
  <c r="T372" i="30"/>
  <c r="U372" i="30" s="1"/>
  <c r="T292" i="30"/>
  <c r="U292" i="30" s="1"/>
  <c r="T92" i="30"/>
  <c r="U92" i="30" s="1"/>
  <c r="T490" i="30"/>
  <c r="U490" i="30" s="1"/>
  <c r="T535" i="30"/>
  <c r="U535" i="30" s="1"/>
  <c r="T586" i="30"/>
  <c r="U586" i="30" s="1"/>
  <c r="T87" i="30"/>
  <c r="U87" i="30" s="1"/>
  <c r="T358" i="30"/>
  <c r="U358" i="30" s="1"/>
  <c r="T556" i="30"/>
  <c r="U556" i="30" s="1"/>
  <c r="T252" i="30"/>
  <c r="U252" i="30" s="1"/>
  <c r="T492" i="30"/>
  <c r="U492" i="30" s="1"/>
  <c r="T293" i="30"/>
  <c r="U293" i="30" s="1"/>
  <c r="T45" i="30"/>
  <c r="U45" i="30" s="1"/>
  <c r="T204" i="30"/>
  <c r="U204" i="30" s="1"/>
  <c r="T570" i="30"/>
  <c r="U570" i="30" s="1"/>
  <c r="T321" i="30"/>
  <c r="U321" i="30" s="1"/>
  <c r="T280" i="30"/>
  <c r="U280" i="30" s="1"/>
  <c r="T115" i="30"/>
  <c r="U115" i="30" s="1"/>
  <c r="T193" i="30"/>
  <c r="U193" i="30" s="1"/>
  <c r="T573" i="30"/>
  <c r="U573" i="30" s="1"/>
  <c r="T477" i="30"/>
  <c r="U477" i="30" s="1"/>
  <c r="T558" i="30"/>
  <c r="U558" i="30" s="1"/>
  <c r="T415" i="30"/>
  <c r="U415" i="30" s="1"/>
  <c r="T317" i="30"/>
  <c r="U317" i="30" s="1"/>
  <c r="T378" i="30"/>
  <c r="U378" i="30" s="1"/>
  <c r="T264" i="30"/>
  <c r="U264" i="30" s="1"/>
  <c r="T144" i="30"/>
  <c r="U144" i="30" s="1"/>
  <c r="T69" i="30"/>
  <c r="U69" i="30" s="1"/>
  <c r="T51" i="30"/>
  <c r="U51" i="30" s="1"/>
  <c r="T197" i="30"/>
  <c r="U197" i="30" s="1"/>
  <c r="T122" i="30"/>
  <c r="U122" i="30" s="1"/>
  <c r="T198" i="30"/>
  <c r="U198" i="30" s="1"/>
  <c r="T442" i="30"/>
  <c r="U442" i="30" s="1"/>
  <c r="T369" i="30"/>
  <c r="U369" i="30" s="1"/>
  <c r="T382" i="30"/>
  <c r="U382" i="30" s="1"/>
  <c r="T173" i="30"/>
  <c r="U173" i="30" s="1"/>
  <c r="T94" i="30"/>
  <c r="U94" i="30" s="1"/>
  <c r="T302" i="30"/>
  <c r="U302" i="30" s="1"/>
  <c r="T295" i="30"/>
  <c r="U295" i="30" s="1"/>
  <c r="T376" i="30"/>
  <c r="U376" i="30" s="1"/>
  <c r="T599" i="30"/>
  <c r="U599" i="30" s="1"/>
  <c r="T525" i="30"/>
  <c r="U525" i="30" s="1"/>
  <c r="T466" i="30"/>
  <c r="U466" i="30" s="1"/>
  <c r="T365" i="30"/>
  <c r="U365" i="30" s="1"/>
  <c r="T410" i="30"/>
  <c r="U410" i="30" s="1"/>
  <c r="T192" i="30"/>
  <c r="U192" i="30" s="1"/>
  <c r="T46" i="30"/>
  <c r="U46" i="30" s="1"/>
  <c r="T155" i="30"/>
  <c r="U155" i="30" s="1"/>
  <c r="T50" i="30"/>
  <c r="U50" i="30" s="1"/>
  <c r="T55" i="30"/>
  <c r="U55" i="30" s="1"/>
  <c r="T238" i="30"/>
  <c r="U238" i="30" s="1"/>
  <c r="T330" i="30"/>
  <c r="U330" i="30" s="1"/>
  <c r="T480" i="30"/>
  <c r="U480" i="30" s="1"/>
  <c r="T405" i="30"/>
  <c r="U405" i="30" s="1"/>
  <c r="T522" i="30"/>
  <c r="U522" i="30" s="1"/>
  <c r="T553" i="30"/>
  <c r="U553" i="30" s="1"/>
  <c r="T137" i="30"/>
  <c r="U137" i="30" s="1"/>
  <c r="T585" i="30"/>
  <c r="U585" i="30" s="1"/>
  <c r="T440" i="30"/>
  <c r="U440" i="30" s="1"/>
  <c r="T467" i="30"/>
  <c r="U467" i="30" s="1"/>
  <c r="T271" i="30"/>
  <c r="U271" i="30" s="1"/>
  <c r="T420" i="30"/>
  <c r="U420" i="30" s="1"/>
  <c r="T340" i="30"/>
  <c r="U340" i="30" s="1"/>
  <c r="T260" i="30"/>
  <c r="U260" i="30" s="1"/>
  <c r="T583" i="30"/>
  <c r="U583" i="30" s="1"/>
  <c r="T584" i="30"/>
  <c r="U584" i="30" s="1"/>
  <c r="T67" i="30"/>
  <c r="U67" i="30" s="1"/>
  <c r="T416" i="30"/>
  <c r="U416" i="30" s="1"/>
  <c r="T200" i="30"/>
  <c r="U200" i="30" s="1"/>
  <c r="T86" i="30"/>
  <c r="U86" i="30" s="1"/>
  <c r="T444" i="30"/>
  <c r="U444" i="30" s="1"/>
  <c r="T172" i="30"/>
  <c r="U172" i="30" s="1"/>
  <c r="T464" i="30"/>
  <c r="U464" i="30" s="1"/>
  <c r="T247" i="30"/>
  <c r="U247" i="30" s="1"/>
  <c r="T74" i="30"/>
  <c r="U74" i="30" s="1"/>
  <c r="T328" i="30"/>
  <c r="U328" i="30" s="1"/>
  <c r="T16" i="30"/>
  <c r="U16" i="30" s="1"/>
  <c r="T10" i="30"/>
  <c r="U10" i="30" s="1"/>
  <c r="T545" i="30"/>
  <c r="U545" i="30" s="1"/>
  <c r="T598" i="30"/>
  <c r="U598" i="30" s="1"/>
  <c r="T257" i="30"/>
  <c r="U257" i="30" s="1"/>
  <c r="T216" i="30"/>
  <c r="U216" i="30" s="1"/>
  <c r="T179" i="30"/>
  <c r="U179" i="30" s="1"/>
  <c r="T472" i="30"/>
  <c r="U472" i="30" s="1"/>
  <c r="T541" i="30"/>
  <c r="U541" i="30" s="1"/>
  <c r="T562" i="30"/>
  <c r="U562" i="30" s="1"/>
  <c r="T454" i="30"/>
  <c r="U454" i="30" s="1"/>
  <c r="T383" i="30"/>
  <c r="U383" i="30" s="1"/>
  <c r="T283" i="30"/>
  <c r="U283" i="30" s="1"/>
  <c r="T312" i="30"/>
  <c r="U312" i="30" s="1"/>
  <c r="T208" i="30"/>
  <c r="U208" i="30" s="1"/>
  <c r="T112" i="30"/>
  <c r="U112" i="30" s="1"/>
  <c r="T123" i="30"/>
  <c r="U123" i="30" s="1"/>
  <c r="T30" i="30"/>
  <c r="U30" i="30" s="1"/>
  <c r="T133" i="30"/>
  <c r="U133" i="30" s="1"/>
  <c r="T40" i="30"/>
  <c r="T63" i="30"/>
  <c r="T474" i="30"/>
  <c r="U474" i="30" s="1"/>
  <c r="T337" i="30"/>
  <c r="U337" i="30" s="1"/>
  <c r="T237" i="30"/>
  <c r="U237" i="30" s="1"/>
  <c r="T107" i="30"/>
  <c r="U107" i="30" s="1"/>
  <c r="T479" i="30"/>
  <c r="U479" i="30" s="1"/>
  <c r="T259" i="30"/>
  <c r="U259" i="30" s="1"/>
  <c r="T201" i="30"/>
  <c r="U201" i="30" s="1"/>
  <c r="T407" i="30"/>
  <c r="U407" i="30" s="1"/>
  <c r="T537" i="30"/>
  <c r="U537" i="30" s="1"/>
  <c r="T569" i="30"/>
  <c r="U569" i="30" s="1"/>
  <c r="T496" i="30"/>
  <c r="U496" i="30" s="1"/>
  <c r="T462" i="30"/>
  <c r="U462" i="30" s="1"/>
  <c r="T533" i="30"/>
  <c r="U533" i="30" s="1"/>
  <c r="T565" i="30"/>
  <c r="U565" i="30" s="1"/>
  <c r="T357" i="30"/>
  <c r="U357" i="30" s="1"/>
  <c r="T185" i="30"/>
  <c r="U185" i="30" s="1"/>
  <c r="T592" i="30"/>
  <c r="U592" i="30" s="1"/>
  <c r="T508" i="30"/>
  <c r="U508" i="30" s="1"/>
  <c r="T380" i="30"/>
  <c r="U380" i="30" s="1"/>
  <c r="T505" i="30"/>
  <c r="U505" i="30" s="1"/>
  <c r="T297" i="30"/>
  <c r="U297" i="30" s="1"/>
  <c r="T169" i="30"/>
  <c r="U169" i="30" s="1"/>
  <c r="T539" i="30"/>
  <c r="U539" i="30" s="1"/>
  <c r="T331" i="30"/>
  <c r="U331" i="30" s="1"/>
  <c r="T307" i="30"/>
  <c r="U307" i="30" s="1"/>
  <c r="CA52" i="30"/>
  <c r="AM52" i="30"/>
  <c r="BG52" i="30"/>
  <c r="BD53" i="30"/>
  <c r="CO52" i="30"/>
  <c r="CH53" i="30"/>
  <c r="BP52" i="30"/>
  <c r="BX52" i="30"/>
  <c r="AZ53" i="30"/>
  <c r="BX53" i="30"/>
  <c r="BH53" i="30"/>
  <c r="CI53" i="30"/>
  <c r="AQ53" i="30"/>
  <c r="CJ53" i="30"/>
  <c r="BO52" i="30"/>
  <c r="AL53" i="30"/>
  <c r="AV53" i="30"/>
  <c r="BT52" i="30"/>
  <c r="BC53" i="30"/>
  <c r="BK53" i="30"/>
  <c r="CI52" i="30"/>
  <c r="AK52" i="30"/>
  <c r="CL52" i="30"/>
  <c r="AX52" i="30"/>
  <c r="BM53" i="30"/>
  <c r="AJ53" i="30"/>
  <c r="AW52" i="30"/>
  <c r="BU53" i="30"/>
  <c r="CB52" i="30"/>
  <c r="CF52" i="30"/>
  <c r="AV52" i="30"/>
  <c r="BJ52" i="30"/>
  <c r="Y52" i="30"/>
  <c r="BA53" i="30"/>
  <c r="CQ53" i="30"/>
  <c r="AT53" i="30"/>
  <c r="CM53" i="30"/>
  <c r="AX53" i="30"/>
  <c r="CF53" i="30"/>
  <c r="AN52" i="30"/>
  <c r="CN53" i="30"/>
  <c r="BE52" i="30"/>
  <c r="BK52" i="30"/>
  <c r="CG53" i="30"/>
  <c r="AY53" i="30"/>
  <c r="CP53" i="30"/>
  <c r="CG52" i="30"/>
  <c r="BI53" i="30"/>
  <c r="BZ53" i="30"/>
  <c r="BQ53" i="30"/>
  <c r="AR52" i="30"/>
  <c r="BV53" i="30"/>
  <c r="BN52" i="30"/>
  <c r="BQ52" i="30"/>
  <c r="BT53" i="30"/>
  <c r="BI52" i="30"/>
  <c r="CE52" i="30"/>
  <c r="AP53" i="30"/>
  <c r="CM52" i="30"/>
  <c r="CN52" i="30"/>
  <c r="CR53" i="30"/>
  <c r="CK52" i="30"/>
  <c r="BY53" i="30"/>
  <c r="BZ52" i="30"/>
  <c r="BR53" i="30"/>
  <c r="BA52" i="30"/>
  <c r="AU52" i="30"/>
  <c r="CL53" i="30"/>
  <c r="CD53" i="30"/>
  <c r="BP53" i="30"/>
  <c r="BL52" i="30"/>
  <c r="Y6" i="30"/>
  <c r="Y53" i="30"/>
  <c r="AL52" i="30"/>
  <c r="BM52" i="30"/>
  <c r="BS52" i="30"/>
  <c r="AK53" i="30"/>
  <c r="AU53" i="30"/>
  <c r="AM53" i="30"/>
  <c r="BR52" i="30"/>
  <c r="BC52" i="30"/>
  <c r="BG53" i="30"/>
  <c r="AN53" i="30"/>
  <c r="AS53" i="30"/>
  <c r="BN53" i="30"/>
  <c r="BE53" i="30"/>
  <c r="CC53" i="30"/>
  <c r="AO53" i="30"/>
  <c r="AJ52" i="30"/>
  <c r="AW53" i="30"/>
  <c r="BD52" i="30"/>
  <c r="CP52" i="30"/>
  <c r="AP52" i="30"/>
  <c r="AR53" i="30"/>
  <c r="CQ52" i="30"/>
  <c r="AT52" i="30"/>
  <c r="CE53" i="30"/>
  <c r="AS52" i="30"/>
  <c r="CA53" i="30"/>
  <c r="CK53" i="30"/>
  <c r="AO52" i="30"/>
  <c r="BF53" i="30"/>
  <c r="CC52" i="30"/>
  <c r="CR52" i="30"/>
  <c r="CB53" i="30"/>
  <c r="BS53" i="30"/>
  <c r="BW52" i="30"/>
  <c r="CD52" i="30"/>
  <c r="BY52" i="30"/>
  <c r="AQ52" i="30"/>
  <c r="CJ52" i="30"/>
  <c r="BB52" i="30"/>
  <c r="BH52" i="30"/>
  <c r="BU52" i="30"/>
  <c r="BF52" i="30"/>
  <c r="BW53" i="30"/>
  <c r="BB53" i="30"/>
  <c r="AZ52" i="30"/>
  <c r="CH52" i="30"/>
  <c r="AY52" i="30"/>
  <c r="BJ53" i="30"/>
  <c r="BL53" i="30"/>
  <c r="BO53" i="30"/>
  <c r="CO53" i="30"/>
  <c r="BV52" i="30"/>
  <c r="O601" i="30"/>
  <c r="R601" i="30"/>
  <c r="C82" i="31"/>
  <c r="C43" i="31"/>
  <c r="C39" i="31"/>
  <c r="C84" i="31"/>
  <c r="Q2" i="22"/>
  <c r="C66" i="31"/>
  <c r="C18" i="31"/>
  <c r="C22" i="31"/>
  <c r="C27" i="31"/>
  <c r="C31" i="31"/>
  <c r="C35" i="31"/>
  <c r="C69" i="31"/>
  <c r="C83" i="31"/>
  <c r="C37" i="31"/>
  <c r="C41" i="31"/>
  <c r="C45" i="31"/>
  <c r="C64" i="31"/>
  <c r="C55" i="31"/>
  <c r="C65" i="31"/>
  <c r="C71" i="31"/>
  <c r="C16" i="31"/>
  <c r="C20" i="31"/>
  <c r="C24" i="31"/>
  <c r="C29" i="31"/>
  <c r="C33" i="31"/>
  <c r="C72" i="31"/>
  <c r="C87" i="31"/>
  <c r="AI63" i="22"/>
  <c r="L63" i="22" s="1"/>
  <c r="AI60" i="22"/>
  <c r="M60" i="22" s="1"/>
  <c r="AG60" i="22" s="1"/>
  <c r="AW3" i="22"/>
  <c r="AW38" i="22" s="1"/>
  <c r="AU38" i="22" s="1"/>
  <c r="N42" i="22"/>
  <c r="W42" i="22"/>
  <c r="N27" i="22"/>
  <c r="D92" i="22" s="1"/>
  <c r="F90" i="22"/>
  <c r="H89" i="22"/>
  <c r="F89" i="22"/>
  <c r="J89" i="22"/>
  <c r="J90" i="22"/>
  <c r="BE3" i="22"/>
  <c r="AI55" i="22"/>
  <c r="L55" i="22" s="1"/>
  <c r="N33" i="16"/>
  <c r="H38" i="16"/>
  <c r="N99" i="16" s="1"/>
  <c r="N2" i="39"/>
  <c r="E17" i="37"/>
  <c r="AI34" i="23"/>
  <c r="AI37" i="23"/>
  <c r="AI30" i="23"/>
  <c r="AI35" i="23"/>
  <c r="N31" i="22"/>
  <c r="R37" i="22"/>
  <c r="D101" i="22" s="1"/>
  <c r="Q4" i="39"/>
  <c r="BR8" i="22"/>
  <c r="AW81" i="22"/>
  <c r="AU81" i="22" s="1"/>
  <c r="AW89" i="22"/>
  <c r="AU89" i="22" s="1"/>
  <c r="A3" i="19"/>
  <c r="L194" i="23"/>
  <c r="AR195" i="23" s="1"/>
  <c r="N194" i="23"/>
  <c r="AT195" i="23" s="1"/>
  <c r="M111" i="23"/>
  <c r="AA110" i="23" s="1"/>
  <c r="AI110" i="23" s="1"/>
  <c r="AF234" i="23"/>
  <c r="AI28" i="23"/>
  <c r="BK45" i="35"/>
  <c r="AO45" i="35"/>
  <c r="AT45" i="35"/>
  <c r="K45" i="35"/>
  <c r="AI27" i="23"/>
  <c r="AI26" i="23"/>
  <c r="B26" i="23" s="1"/>
  <c r="AI25" i="23"/>
  <c r="AI24" i="23"/>
  <c r="AA58" i="23"/>
  <c r="AI58" i="23" s="1"/>
  <c r="AF237" i="23"/>
  <c r="N35" i="22"/>
  <c r="AI32" i="23"/>
  <c r="AW97" i="22"/>
  <c r="AU97" i="22" s="1"/>
  <c r="AW46" i="22"/>
  <c r="AU46" i="22" s="1"/>
  <c r="AW47" i="22"/>
  <c r="AU47" i="22" s="1"/>
  <c r="AW74" i="22"/>
  <c r="AU74" i="22" s="1"/>
  <c r="Z194" i="23"/>
  <c r="BF195" i="23" s="1"/>
  <c r="R194" i="23"/>
  <c r="AX195" i="23" s="1"/>
  <c r="J167" i="23"/>
  <c r="AJ28" i="23" s="1"/>
  <c r="B3" i="22"/>
  <c r="BO45" i="35"/>
  <c r="AR45" i="35"/>
  <c r="AW45" i="35"/>
  <c r="BB45" i="35"/>
  <c r="BQ60" i="35"/>
  <c r="AI23" i="23"/>
  <c r="AI20" i="23"/>
  <c r="AI38" i="23"/>
  <c r="Q40" i="22"/>
  <c r="N40" i="22" s="1"/>
  <c r="D104" i="22" s="1"/>
  <c r="D105" i="22"/>
  <c r="N19" i="39"/>
  <c r="L19" i="39" s="1"/>
  <c r="BR11" i="22"/>
  <c r="AW32" i="22"/>
  <c r="AU32" i="22" s="1"/>
  <c r="AW54" i="22"/>
  <c r="AU54" i="22" s="1"/>
  <c r="AW92" i="22"/>
  <c r="AU92" i="22" s="1"/>
  <c r="AW104" i="22"/>
  <c r="AU104" i="22" s="1"/>
  <c r="AW51" i="22"/>
  <c r="AU51" i="22" s="1"/>
  <c r="AW94" i="22"/>
  <c r="AU94" i="22" s="1"/>
  <c r="AW68" i="22"/>
  <c r="AU68" i="22" s="1"/>
  <c r="BR10" i="22"/>
  <c r="BR9" i="22"/>
  <c r="Q28" i="22"/>
  <c r="N28" i="22" s="1"/>
  <c r="Q38" i="22"/>
  <c r="N38" i="22" s="1"/>
  <c r="AW48" i="22"/>
  <c r="AU48" i="22" s="1"/>
  <c r="AW71" i="22"/>
  <c r="AU71" i="22" s="1"/>
  <c r="AW98" i="22"/>
  <c r="AU98" i="22" s="1"/>
  <c r="AW77" i="22"/>
  <c r="AU77" i="22" s="1"/>
  <c r="AW67" i="22"/>
  <c r="AU67" i="22" s="1"/>
  <c r="AW41" i="22"/>
  <c r="AU41" i="22" s="1"/>
  <c r="AW59" i="22"/>
  <c r="AU59" i="22" s="1"/>
  <c r="AW36" i="22"/>
  <c r="AU36" i="22" s="1"/>
  <c r="H2" i="19"/>
  <c r="AA139" i="23"/>
  <c r="AI139" i="23" s="1"/>
  <c r="B26" i="38"/>
  <c r="B25" i="38"/>
  <c r="BM35" i="35"/>
  <c r="AC35" i="35"/>
  <c r="AT35" i="35"/>
  <c r="A39" i="35"/>
  <c r="BJ40" i="35" s="1"/>
  <c r="A24" i="35"/>
  <c r="AC25" i="35" s="1"/>
  <c r="A14" i="35"/>
  <c r="A64" i="35"/>
  <c r="A29" i="35"/>
  <c r="A19" i="35"/>
  <c r="A49" i="35"/>
  <c r="A54" i="35"/>
  <c r="A59" i="35"/>
  <c r="A9" i="35"/>
  <c r="H10" i="35" s="1"/>
  <c r="S35" i="35"/>
  <c r="W35" i="35"/>
  <c r="R35" i="35"/>
  <c r="M35" i="35"/>
  <c r="AB35" i="35"/>
  <c r="BO35" i="35"/>
  <c r="BJ35" i="35"/>
  <c r="AW35" i="35"/>
  <c r="O35" i="35"/>
  <c r="J35" i="35"/>
  <c r="E35" i="35"/>
  <c r="BH35" i="35"/>
  <c r="BG35" i="35"/>
  <c r="BB35" i="35"/>
  <c r="AO35" i="35"/>
  <c r="AE35" i="35"/>
  <c r="Z35" i="35"/>
  <c r="U35" i="35"/>
  <c r="H35" i="35"/>
  <c r="AR35" i="35"/>
  <c r="AQ35" i="35"/>
  <c r="BI35" i="35"/>
  <c r="U45" i="35"/>
  <c r="AA45" i="35"/>
  <c r="P45" i="35"/>
  <c r="N45" i="35"/>
  <c r="AZ35" i="35"/>
  <c r="P35" i="35"/>
  <c r="F45" i="35"/>
  <c r="R45" i="35"/>
  <c r="S45" i="35"/>
  <c r="H45" i="35"/>
  <c r="X45" i="35"/>
  <c r="I45" i="35"/>
  <c r="Y45" i="35"/>
  <c r="R25" i="35"/>
  <c r="BC45" i="35"/>
  <c r="AU45" i="35"/>
  <c r="AV45" i="35"/>
  <c r="BL45" i="35"/>
  <c r="BA45" i="35"/>
  <c r="AP45" i="35"/>
  <c r="BF45" i="35"/>
  <c r="V45" i="35"/>
  <c r="G45" i="35"/>
  <c r="W45" i="35"/>
  <c r="L45" i="35"/>
  <c r="AB45" i="35"/>
  <c r="M45" i="35"/>
  <c r="AC45" i="35"/>
  <c r="AG44" i="35"/>
  <c r="BA35" i="35"/>
  <c r="AS35" i="35"/>
  <c r="AX35" i="35"/>
  <c r="BN35" i="35"/>
  <c r="BC35" i="35"/>
  <c r="AN35" i="35"/>
  <c r="BD35" i="35"/>
  <c r="AX40" i="35"/>
  <c r="T35" i="35"/>
  <c r="AF35" i="35"/>
  <c r="Q35" i="35"/>
  <c r="F35" i="35"/>
  <c r="V35" i="35"/>
  <c r="K35" i="35"/>
  <c r="AA35" i="35"/>
  <c r="AG34" i="35"/>
  <c r="BR35" i="35"/>
  <c r="BR60" i="35"/>
  <c r="BG45" i="35"/>
  <c r="AN45" i="35"/>
  <c r="BD45" i="35"/>
  <c r="AS45" i="35"/>
  <c r="BI45" i="35"/>
  <c r="AX45" i="35"/>
  <c r="BN45" i="35"/>
  <c r="AD45" i="35"/>
  <c r="Z45" i="35"/>
  <c r="O45" i="35"/>
  <c r="AE45" i="35"/>
  <c r="T45" i="35"/>
  <c r="E45" i="35"/>
  <c r="BE35" i="35"/>
  <c r="AP35" i="35"/>
  <c r="BF35" i="35"/>
  <c r="AU35" i="35"/>
  <c r="BK35" i="35"/>
  <c r="AV35" i="35"/>
  <c r="BL35" i="35"/>
  <c r="BK40" i="35"/>
  <c r="AV40" i="35"/>
  <c r="I40" i="35"/>
  <c r="N40" i="35"/>
  <c r="L35" i="35"/>
  <c r="X35" i="35"/>
  <c r="I35" i="35"/>
  <c r="Y35" i="35"/>
  <c r="N35" i="35"/>
  <c r="AD35" i="35"/>
  <c r="BR45" i="35"/>
  <c r="BK3" i="22"/>
  <c r="AI65" i="22"/>
  <c r="AJ65" i="22" s="1"/>
  <c r="BO3" i="22"/>
  <c r="W16" i="22"/>
  <c r="D16" i="22" s="1"/>
  <c r="B38" i="22"/>
  <c r="W27" i="22"/>
  <c r="AI50" i="22"/>
  <c r="L50" i="22" s="1"/>
  <c r="W17" i="22"/>
  <c r="D17" i="22" s="1"/>
  <c r="A76" i="22"/>
  <c r="AI56" i="22"/>
  <c r="AJ56" i="22" s="1"/>
  <c r="AI61" i="22"/>
  <c r="L61" i="22" s="1"/>
  <c r="AI47" i="22"/>
  <c r="L47" i="22" s="1"/>
  <c r="AI53" i="22"/>
  <c r="AJ53" i="22" s="1"/>
  <c r="AI62" i="22"/>
  <c r="M62" i="22" s="1"/>
  <c r="AG62" i="22" s="1"/>
  <c r="AI52" i="22"/>
  <c r="L52" i="22" s="1"/>
  <c r="AI59" i="22"/>
  <c r="M59" i="22" s="1"/>
  <c r="AG59" i="22" s="1"/>
  <c r="AI64" i="22"/>
  <c r="L64" i="22" s="1"/>
  <c r="C8" i="31"/>
  <c r="C10" i="31"/>
  <c r="C12" i="31"/>
  <c r="C14" i="31"/>
  <c r="C26" i="31"/>
  <c r="C48" i="31"/>
  <c r="C50" i="31"/>
  <c r="C52" i="31"/>
  <c r="C54" i="31"/>
  <c r="C96" i="31"/>
  <c r="C98" i="31"/>
  <c r="C100" i="31"/>
  <c r="C102" i="31"/>
  <c r="C104" i="31"/>
  <c r="C106" i="31"/>
  <c r="C61" i="31"/>
  <c r="C80" i="31"/>
  <c r="C73" i="31"/>
  <c r="C60" i="31"/>
  <c r="C92" i="31"/>
  <c r="C70" i="31"/>
  <c r="C86" i="31"/>
  <c r="C59" i="31"/>
  <c r="C75" i="31"/>
  <c r="C91" i="31"/>
  <c r="C17" i="31"/>
  <c r="C19" i="31"/>
  <c r="C21" i="31"/>
  <c r="C23" i="31"/>
  <c r="C25" i="31"/>
  <c r="C28" i="31"/>
  <c r="C30" i="31"/>
  <c r="C32" i="31"/>
  <c r="C34" i="31"/>
  <c r="C36" i="31"/>
  <c r="C38" i="31"/>
  <c r="C40" i="31"/>
  <c r="C42" i="31"/>
  <c r="C44" i="31"/>
  <c r="C46" i="31"/>
  <c r="C85" i="31"/>
  <c r="C77" i="31"/>
  <c r="C88" i="31"/>
  <c r="C81" i="31"/>
  <c r="C68" i="31"/>
  <c r="C58" i="31"/>
  <c r="C74" i="31"/>
  <c r="C90" i="31"/>
  <c r="C63" i="31"/>
  <c r="C79" i="31"/>
  <c r="C7" i="31"/>
  <c r="C9" i="31"/>
  <c r="C11" i="31"/>
  <c r="C13" i="31"/>
  <c r="C15" i="31"/>
  <c r="C47" i="31"/>
  <c r="C49" i="31"/>
  <c r="C51" i="31"/>
  <c r="C53" i="31"/>
  <c r="C95" i="31"/>
  <c r="C97" i="31"/>
  <c r="C99" i="31"/>
  <c r="C101" i="31"/>
  <c r="C103" i="31"/>
  <c r="C105" i="31"/>
  <c r="C93" i="31"/>
  <c r="C56" i="31"/>
  <c r="C57" i="31"/>
  <c r="C89" i="31"/>
  <c r="C76" i="31"/>
  <c r="C62" i="31"/>
  <c r="C78" i="31"/>
  <c r="C94" i="31"/>
  <c r="C67" i="31"/>
  <c r="I68" i="22"/>
  <c r="M31" i="16"/>
  <c r="O31" i="16"/>
  <c r="O8" i="35"/>
  <c r="AA173" i="23"/>
  <c r="J8" i="35"/>
  <c r="AA150" i="23" s="1"/>
  <c r="H21" i="37"/>
  <c r="E20" i="37"/>
  <c r="H14" i="37"/>
  <c r="E18" i="37"/>
  <c r="E21" i="37"/>
  <c r="E16" i="37"/>
  <c r="H23" i="37"/>
  <c r="H25" i="37"/>
  <c r="H16" i="37"/>
  <c r="H24" i="37"/>
  <c r="E22" i="37"/>
  <c r="E23" i="37"/>
  <c r="H19" i="37"/>
  <c r="G3" i="37"/>
  <c r="H17" i="37"/>
  <c r="E15" i="37"/>
  <c r="E19" i="37"/>
  <c r="E14" i="37"/>
  <c r="AJ67" i="22"/>
  <c r="AF228" i="23"/>
  <c r="B66" i="38"/>
  <c r="F67" i="38"/>
  <c r="G67" i="38"/>
  <c r="AZ198" i="23"/>
  <c r="AP198" i="23"/>
  <c r="BB195" i="23"/>
  <c r="BD198" i="23"/>
  <c r="AL195" i="23"/>
  <c r="BB198" i="23"/>
  <c r="AN195" i="23"/>
  <c r="AI58" i="22"/>
  <c r="M58" i="22" s="1"/>
  <c r="AG58" i="22" s="1"/>
  <c r="AI48" i="22"/>
  <c r="AI51" i="22"/>
  <c r="M51" i="22" s="1"/>
  <c r="AG51" i="22" s="1"/>
  <c r="W25" i="22"/>
  <c r="F17" i="22"/>
  <c r="D103" i="22" s="1"/>
  <c r="J41" i="16"/>
  <c r="N34" i="16"/>
  <c r="N30" i="16"/>
  <c r="J30" i="16" s="1"/>
  <c r="J51" i="16"/>
  <c r="N31" i="16"/>
  <c r="J42" i="16"/>
  <c r="J52" i="16"/>
  <c r="J45" i="16"/>
  <c r="W4" i="27"/>
  <c r="AO1" i="31"/>
  <c r="AI66" i="22"/>
  <c r="M66" i="22" s="1"/>
  <c r="AG66" i="22" s="1"/>
  <c r="AI21" i="23"/>
  <c r="J2" i="37"/>
  <c r="L2" i="16"/>
  <c r="AD2" i="27"/>
  <c r="K2" i="24"/>
  <c r="AL2" i="35"/>
  <c r="AM2" i="31"/>
  <c r="R2" i="38"/>
  <c r="F196" i="23"/>
  <c r="M306" i="23"/>
  <c r="AA305" i="23" s="1"/>
  <c r="AI305" i="23" s="1"/>
  <c r="B8" i="22"/>
  <c r="B10" i="22" s="1"/>
  <c r="L93" i="22" s="1"/>
  <c r="D25" i="38"/>
  <c r="M284" i="23"/>
  <c r="M297" i="23"/>
  <c r="AA296" i="23" s="1"/>
  <c r="AI296" i="23" s="1"/>
  <c r="U31" i="30" l="1"/>
  <c r="U23" i="30"/>
  <c r="U20" i="30"/>
  <c r="M67" i="22"/>
  <c r="AG67" i="22" s="1"/>
  <c r="H91" i="22"/>
  <c r="J91" i="22" s="1"/>
  <c r="D91" i="22"/>
  <c r="M49" i="22"/>
  <c r="AG49" i="22" s="1"/>
  <c r="U43" i="30"/>
  <c r="U33" i="30"/>
  <c r="U15" i="30"/>
  <c r="Y8" i="30"/>
  <c r="U12" i="30"/>
  <c r="Y10" i="30"/>
  <c r="Y7" i="30"/>
  <c r="Y9" i="30"/>
  <c r="AW107" i="22"/>
  <c r="AY107" i="22" s="1"/>
  <c r="AW72" i="22"/>
  <c r="AU72" i="22" s="1"/>
  <c r="AW43" i="22"/>
  <c r="BC43" i="22" s="1"/>
  <c r="AW96" i="22"/>
  <c r="AU96" i="22" s="1"/>
  <c r="AW79" i="22"/>
  <c r="AU79" i="22" s="1"/>
  <c r="AW103" i="22"/>
  <c r="BO103" i="22" s="1"/>
  <c r="AW42" i="22"/>
  <c r="AU42" i="22" s="1"/>
  <c r="AW57" i="22"/>
  <c r="AU57" i="22" s="1"/>
  <c r="AW33" i="22"/>
  <c r="AU33" i="22" s="1"/>
  <c r="AW39" i="22"/>
  <c r="AU39" i="22" s="1"/>
  <c r="L54" i="22"/>
  <c r="W30" i="22"/>
  <c r="D30" i="22" s="1"/>
  <c r="AJ49" i="22"/>
  <c r="AW53" i="22"/>
  <c r="AU53" i="22" s="1"/>
  <c r="AW40" i="22"/>
  <c r="AU40" i="22" s="1"/>
  <c r="AW78" i="22"/>
  <c r="AY78" i="22" s="1"/>
  <c r="AW76" i="22"/>
  <c r="AU76" i="22" s="1"/>
  <c r="AW101" i="22"/>
  <c r="AU101" i="22" s="1"/>
  <c r="AW29" i="22"/>
  <c r="BC29" i="22" s="1"/>
  <c r="AW60" i="22"/>
  <c r="AU60" i="22" s="1"/>
  <c r="AW52" i="22"/>
  <c r="AU52" i="22" s="1"/>
  <c r="AW93" i="22"/>
  <c r="AU93" i="22" s="1"/>
  <c r="AW87" i="22"/>
  <c r="AY87" i="22" s="1"/>
  <c r="AW69" i="22"/>
  <c r="AY69" i="22" s="1"/>
  <c r="AW34" i="22"/>
  <c r="AU34" i="22" s="1"/>
  <c r="AW91" i="22"/>
  <c r="AU91" i="22" s="1"/>
  <c r="AW99" i="22"/>
  <c r="AU99" i="22" s="1"/>
  <c r="AW65" i="22"/>
  <c r="AU65" i="22" s="1"/>
  <c r="AW56" i="22"/>
  <c r="BG56" i="22" s="1"/>
  <c r="AW82" i="22"/>
  <c r="AU82" i="22" s="1"/>
  <c r="AW70" i="22"/>
  <c r="AU70" i="22" s="1"/>
  <c r="AW83" i="22"/>
  <c r="AU83" i="22" s="1"/>
  <c r="AW105" i="22"/>
  <c r="BA105" i="22" s="1"/>
  <c r="AW100" i="22"/>
  <c r="AU100" i="22" s="1"/>
  <c r="AW35" i="22"/>
  <c r="AU35" i="22" s="1"/>
  <c r="AW45" i="22"/>
  <c r="AU45" i="22" s="1"/>
  <c r="AW86" i="22"/>
  <c r="AU86" i="22" s="1"/>
  <c r="AW58" i="22"/>
  <c r="AU58" i="22" s="1"/>
  <c r="AW55" i="22"/>
  <c r="AU55" i="22" s="1"/>
  <c r="AW80" i="22"/>
  <c r="AU80" i="22" s="1"/>
  <c r="AW84" i="22"/>
  <c r="AU84" i="22" s="1"/>
  <c r="P40" i="35"/>
  <c r="N29" i="22"/>
  <c r="H40" i="35"/>
  <c r="U40" i="35"/>
  <c r="BF40" i="35"/>
  <c r="S40" i="35"/>
  <c r="BL40" i="35"/>
  <c r="BN40" i="35"/>
  <c r="F40" i="35"/>
  <c r="W29" i="22"/>
  <c r="D29" i="22" s="1"/>
  <c r="BD40" i="35"/>
  <c r="R18" i="22"/>
  <c r="Q18" i="22" s="1"/>
  <c r="R20" i="22"/>
  <c r="AD40" i="35"/>
  <c r="BA40" i="35"/>
  <c r="AU40" i="35"/>
  <c r="AA40" i="35"/>
  <c r="AC40" i="35"/>
  <c r="AN40" i="35"/>
  <c r="R19" i="22"/>
  <c r="Q19" i="22" s="1"/>
  <c r="N19" i="22" s="1"/>
  <c r="AG39" i="35"/>
  <c r="K40" i="35"/>
  <c r="BI40" i="35"/>
  <c r="BC40" i="35"/>
  <c r="R21" i="22"/>
  <c r="AF40" i="35"/>
  <c r="V40" i="35"/>
  <c r="AS40" i="35"/>
  <c r="D18" i="22"/>
  <c r="BC46" i="22"/>
  <c r="O40" i="22"/>
  <c r="X25" i="35"/>
  <c r="N25" i="35"/>
  <c r="H25" i="35"/>
  <c r="Q25" i="35"/>
  <c r="Y25" i="35"/>
  <c r="W25" i="35"/>
  <c r="I25" i="35"/>
  <c r="V37" i="22"/>
  <c r="BC98" i="22"/>
  <c r="O28" i="22"/>
  <c r="AA112" i="23" s="1"/>
  <c r="AI112" i="23" s="1"/>
  <c r="J107" i="23" s="1"/>
  <c r="AJ24" i="23" s="1"/>
  <c r="B24" i="23" s="1"/>
  <c r="G24" i="40" s="1"/>
  <c r="H24" i="40" s="1"/>
  <c r="I24" i="40" s="1"/>
  <c r="B37" i="22"/>
  <c r="AF25" i="35"/>
  <c r="V25" i="35"/>
  <c r="P25" i="35"/>
  <c r="AB25" i="35"/>
  <c r="AG24" i="35"/>
  <c r="AH24" i="35" s="1"/>
  <c r="AA25" i="35"/>
  <c r="O25" i="35"/>
  <c r="AE25" i="35"/>
  <c r="U36" i="30"/>
  <c r="U25" i="30"/>
  <c r="U22" i="30"/>
  <c r="U17" i="30"/>
  <c r="U44" i="30"/>
  <c r="U35" i="30"/>
  <c r="U34" i="30"/>
  <c r="U21" i="30"/>
  <c r="U48" i="30"/>
  <c r="U47" i="30"/>
  <c r="U11" i="30"/>
  <c r="Y14" i="30"/>
  <c r="BI98" i="22"/>
  <c r="BO92" i="22"/>
  <c r="BC64" i="22"/>
  <c r="BE97" i="22"/>
  <c r="AY48" i="22"/>
  <c r="U147" i="16"/>
  <c r="T140" i="16"/>
  <c r="D11" i="16" s="1"/>
  <c r="BG64" i="22"/>
  <c r="BM73" i="22"/>
  <c r="BM67" i="22"/>
  <c r="BI71" i="22"/>
  <c r="T141" i="16"/>
  <c r="D12" i="16" s="1"/>
  <c r="U140" i="16"/>
  <c r="BG71" i="22"/>
  <c r="BO48" i="22"/>
  <c r="BO81" i="22"/>
  <c r="BK71" i="22"/>
  <c r="T145" i="16"/>
  <c r="D16" i="16" s="1"/>
  <c r="BO71" i="22"/>
  <c r="BE71" i="22"/>
  <c r="BM71" i="22"/>
  <c r="BA46" i="22"/>
  <c r="BE64" i="22"/>
  <c r="BM64" i="22"/>
  <c r="AY92" i="22"/>
  <c r="BE98" i="22"/>
  <c r="U145" i="16"/>
  <c r="T144" i="16"/>
  <c r="D15" i="16" s="1"/>
  <c r="BC41" i="22"/>
  <c r="BA77" i="22"/>
  <c r="BK77" i="22"/>
  <c r="T143" i="16"/>
  <c r="D14" i="16" s="1"/>
  <c r="BC36" i="22"/>
  <c r="BA41" i="22"/>
  <c r="BM46" i="22"/>
  <c r="AY46" i="22"/>
  <c r="U144" i="16"/>
  <c r="BG51" i="22"/>
  <c r="AY77" i="22"/>
  <c r="BI32" i="22"/>
  <c r="T147" i="16"/>
  <c r="D18" i="16" s="1"/>
  <c r="T146" i="16"/>
  <c r="D17" i="16" s="1"/>
  <c r="BI73" i="22"/>
  <c r="BO98" i="22"/>
  <c r="BG46" i="22"/>
  <c r="BO46" i="22"/>
  <c r="U142" i="16"/>
  <c r="BM51" i="22"/>
  <c r="BC81" i="22"/>
  <c r="BA79" i="22"/>
  <c r="U143" i="16"/>
  <c r="BO77" i="22"/>
  <c r="BC77" i="22"/>
  <c r="BG81" i="22"/>
  <c r="BE81" i="22"/>
  <c r="U141" i="16"/>
  <c r="T142" i="16"/>
  <c r="D13" i="16" s="1"/>
  <c r="BI41" i="22"/>
  <c r="BA98" i="22"/>
  <c r="BK46" i="22"/>
  <c r="BE46" i="22"/>
  <c r="N105" i="16"/>
  <c r="U146" i="16"/>
  <c r="M54" i="22"/>
  <c r="AG54" i="22" s="1"/>
  <c r="BG92" i="22"/>
  <c r="AY103" i="22"/>
  <c r="BG41" i="22"/>
  <c r="BI77" i="22"/>
  <c r="BE77" i="22"/>
  <c r="BA81" i="22"/>
  <c r="BG48" i="22"/>
  <c r="AY81" i="22"/>
  <c r="AY51" i="22"/>
  <c r="L25" i="35"/>
  <c r="M25" i="35"/>
  <c r="BO41" i="22"/>
  <c r="BM41" i="22"/>
  <c r="BI48" i="22"/>
  <c r="BI104" i="22"/>
  <c r="BK81" i="22"/>
  <c r="BK51" i="22"/>
  <c r="F25" i="35"/>
  <c r="K25" i="35"/>
  <c r="AW90" i="22"/>
  <c r="AU90" i="22" s="1"/>
  <c r="AW62" i="22"/>
  <c r="BM62" i="22" s="1"/>
  <c r="AW50" i="22"/>
  <c r="AU50" i="22" s="1"/>
  <c r="AW63" i="22"/>
  <c r="BC63" i="22" s="1"/>
  <c r="AW61" i="22"/>
  <c r="BG61" i="22" s="1"/>
  <c r="AW102" i="22"/>
  <c r="BG102" i="22" s="1"/>
  <c r="AW95" i="22"/>
  <c r="BE95" i="22" s="1"/>
  <c r="AW44" i="22"/>
  <c r="BI44" i="22" s="1"/>
  <c r="AW49" i="22"/>
  <c r="BC49" i="22" s="1"/>
  <c r="AW31" i="22"/>
  <c r="BI31" i="22" s="1"/>
  <c r="AW88" i="22"/>
  <c r="BE88" i="22" s="1"/>
  <c r="AW75" i="22"/>
  <c r="BK75" i="22" s="1"/>
  <c r="AW37" i="22"/>
  <c r="BI37" i="22" s="1"/>
  <c r="AW106" i="22"/>
  <c r="BO106" i="22" s="1"/>
  <c r="L89" i="22"/>
  <c r="U52" i="30"/>
  <c r="Q37" i="22"/>
  <c r="N37" i="22" s="1"/>
  <c r="U39" i="30"/>
  <c r="AL2" i="22"/>
  <c r="AW30" i="22"/>
  <c r="AU30" i="22" s="1"/>
  <c r="AW66" i="22"/>
  <c r="BM66" i="22" s="1"/>
  <c r="Q21" i="22"/>
  <c r="W21" i="22"/>
  <c r="F21" i="22" s="1"/>
  <c r="V94" i="16"/>
  <c r="V105" i="16"/>
  <c r="V100" i="16"/>
  <c r="V93" i="16"/>
  <c r="V108" i="16"/>
  <c r="V92" i="16"/>
  <c r="V132" i="16"/>
  <c r="V138" i="16"/>
  <c r="V113" i="16"/>
  <c r="V70" i="16"/>
  <c r="V120" i="16"/>
  <c r="V69" i="16"/>
  <c r="V47" i="16"/>
  <c r="V122" i="16"/>
  <c r="V71" i="16"/>
  <c r="V104" i="16"/>
  <c r="V96" i="16"/>
  <c r="V101" i="16"/>
  <c r="V131" i="16"/>
  <c r="V117" i="16"/>
  <c r="V66" i="16"/>
  <c r="V118" i="16"/>
  <c r="V53" i="16"/>
  <c r="V124" i="16"/>
  <c r="V72" i="16"/>
  <c r="V42" i="16"/>
  <c r="V111" i="16"/>
  <c r="V60" i="16"/>
  <c r="V80" i="16"/>
  <c r="V48" i="16"/>
  <c r="V98" i="16"/>
  <c r="V91" i="16"/>
  <c r="V126" i="16"/>
  <c r="V109" i="16"/>
  <c r="V62" i="16"/>
  <c r="V85" i="16"/>
  <c r="V52" i="16"/>
  <c r="V123" i="16"/>
  <c r="V57" i="16"/>
  <c r="V133" i="16"/>
  <c r="V110" i="16"/>
  <c r="V59" i="16"/>
  <c r="V40" i="16"/>
  <c r="V99" i="16"/>
  <c r="V127" i="16"/>
  <c r="V136" i="16"/>
  <c r="V134" i="16"/>
  <c r="V86" i="16"/>
  <c r="V58" i="16"/>
  <c r="V84" i="16"/>
  <c r="V51" i="16"/>
  <c r="V89" i="16"/>
  <c r="V56" i="16"/>
  <c r="V116" i="16"/>
  <c r="V77" i="16"/>
  <c r="V49" i="16"/>
  <c r="V65" i="16"/>
  <c r="V95" i="16"/>
  <c r="V97" i="16"/>
  <c r="V128" i="16"/>
  <c r="V130" i="16"/>
  <c r="V82" i="16"/>
  <c r="V54" i="16"/>
  <c r="V83" i="16"/>
  <c r="V43" i="16"/>
  <c r="V88" i="16"/>
  <c r="V55" i="16"/>
  <c r="V81" i="16"/>
  <c r="V76" i="16"/>
  <c r="V45" i="16"/>
  <c r="V63" i="16"/>
  <c r="V90" i="16"/>
  <c r="V102" i="16"/>
  <c r="V139" i="16"/>
  <c r="V125" i="16"/>
  <c r="V78" i="16"/>
  <c r="V129" i="16"/>
  <c r="V68" i="16"/>
  <c r="V115" i="16"/>
  <c r="V87" i="16"/>
  <c r="V50" i="16"/>
  <c r="V137" i="16"/>
  <c r="V75" i="16"/>
  <c r="V41" i="16"/>
  <c r="V64" i="16"/>
  <c r="V106" i="16"/>
  <c r="V107" i="16"/>
  <c r="V103" i="16"/>
  <c r="V135" i="16"/>
  <c r="V121" i="16"/>
  <c r="V74" i="16"/>
  <c r="V119" i="16"/>
  <c r="V67" i="16"/>
  <c r="V79" i="16"/>
  <c r="V73" i="16"/>
  <c r="V46" i="16"/>
  <c r="V112" i="16"/>
  <c r="V61" i="16"/>
  <c r="V114" i="16"/>
  <c r="V44" i="16"/>
  <c r="J3" i="37"/>
  <c r="E1" i="37" s="1"/>
  <c r="H3" i="19"/>
  <c r="D1" i="19" s="1"/>
  <c r="K3" i="24"/>
  <c r="G1" i="24" s="1"/>
  <c r="R3" i="38"/>
  <c r="L43" i="38" s="1"/>
  <c r="Q3" i="22"/>
  <c r="J1" i="22" s="1"/>
  <c r="N3" i="39"/>
  <c r="G1" i="39" s="1"/>
  <c r="AL3" i="35"/>
  <c r="AF1" i="35" s="1"/>
  <c r="AM3" i="31"/>
  <c r="AC1" i="31" s="1"/>
  <c r="L3" i="16"/>
  <c r="H1" i="16" s="1"/>
  <c r="X1" i="23"/>
  <c r="AD3" i="27"/>
  <c r="U1" i="27" s="1"/>
  <c r="BE48" i="22"/>
  <c r="AY41" i="22"/>
  <c r="BK98" i="22"/>
  <c r="BG98" i="22"/>
  <c r="BM48" i="22"/>
  <c r="BK41" i="22"/>
  <c r="BM98" i="22"/>
  <c r="BG77" i="22"/>
  <c r="BM92" i="22"/>
  <c r="AY36" i="22"/>
  <c r="BA73" i="22"/>
  <c r="BO67" i="22"/>
  <c r="BG97" i="22"/>
  <c r="N137" i="16"/>
  <c r="N49" i="16"/>
  <c r="J49" i="16" s="1"/>
  <c r="AW17" i="22" s="1"/>
  <c r="AU17" i="22" s="1"/>
  <c r="N62" i="16"/>
  <c r="N113" i="16"/>
  <c r="N111" i="16"/>
  <c r="N124" i="16"/>
  <c r="N104" i="16"/>
  <c r="N57" i="16"/>
  <c r="J57" i="16" s="1"/>
  <c r="AW25" i="22" s="1"/>
  <c r="AU25" i="22" s="1"/>
  <c r="N123" i="16"/>
  <c r="N40" i="16"/>
  <c r="N101" i="16"/>
  <c r="BO73" i="22"/>
  <c r="BE54" i="22"/>
  <c r="N77" i="16"/>
  <c r="N64" i="16"/>
  <c r="BC54" i="22"/>
  <c r="N81" i="16"/>
  <c r="N43" i="16"/>
  <c r="J43" i="16" s="1"/>
  <c r="AW11" i="22" s="1"/>
  <c r="AU11" i="22" s="1"/>
  <c r="N136" i="16"/>
  <c r="BA97" i="22"/>
  <c r="N41" i="16"/>
  <c r="N85" i="16"/>
  <c r="N56" i="16"/>
  <c r="J56" i="16" s="1"/>
  <c r="AW24" i="22" s="1"/>
  <c r="AU24" i="22" s="1"/>
  <c r="N139" i="16"/>
  <c r="N80" i="16"/>
  <c r="N71" i="16"/>
  <c r="N115" i="16"/>
  <c r="N121" i="16"/>
  <c r="N118" i="16"/>
  <c r="N66" i="16"/>
  <c r="N46" i="16"/>
  <c r="BA54" i="22"/>
  <c r="BI54" i="22"/>
  <c r="N87" i="16"/>
  <c r="N106" i="16"/>
  <c r="N108" i="16"/>
  <c r="N112" i="16"/>
  <c r="BG36" i="22"/>
  <c r="BC67" i="22"/>
  <c r="BK54" i="22"/>
  <c r="AY67" i="22"/>
  <c r="N59" i="16"/>
  <c r="N93" i="16"/>
  <c r="N94" i="16"/>
  <c r="N92" i="16"/>
  <c r="N116" i="16"/>
  <c r="N114" i="16"/>
  <c r="AY97" i="22"/>
  <c r="N132" i="16"/>
  <c r="BE36" i="22"/>
  <c r="BK73" i="22"/>
  <c r="BK67" i="22"/>
  <c r="BC97" i="22"/>
  <c r="N120" i="16"/>
  <c r="N96" i="16"/>
  <c r="N54" i="16"/>
  <c r="J54" i="16" s="1"/>
  <c r="AW22" i="22" s="1"/>
  <c r="AU22" i="22" s="1"/>
  <c r="N86" i="16"/>
  <c r="N75" i="16"/>
  <c r="N133" i="16"/>
  <c r="N58" i="16"/>
  <c r="N70" i="16"/>
  <c r="N61" i="16"/>
  <c r="N78" i="16"/>
  <c r="AY71" i="22"/>
  <c r="N128" i="16"/>
  <c r="N73" i="16"/>
  <c r="N83" i="16"/>
  <c r="BC73" i="22"/>
  <c r="BO36" i="22"/>
  <c r="BE73" i="22"/>
  <c r="BA67" i="22"/>
  <c r="N69" i="16"/>
  <c r="N102" i="16"/>
  <c r="N126" i="16"/>
  <c r="N95" i="16"/>
  <c r="N91" i="16"/>
  <c r="N135" i="16"/>
  <c r="N53" i="16"/>
  <c r="N48" i="16"/>
  <c r="N130" i="16"/>
  <c r="N89" i="16"/>
  <c r="BI36" i="22"/>
  <c r="BA36" i="22"/>
  <c r="BG67" i="22"/>
  <c r="BI97" i="22"/>
  <c r="N45" i="16"/>
  <c r="N100" i="16"/>
  <c r="N119" i="16"/>
  <c r="N129" i="16"/>
  <c r="N97" i="16"/>
  <c r="N67" i="16"/>
  <c r="N122" i="16"/>
  <c r="N65" i="16"/>
  <c r="N125" i="16"/>
  <c r="N84" i="16"/>
  <c r="BO97" i="22"/>
  <c r="BC71" i="22"/>
  <c r="N131" i="16"/>
  <c r="D9" i="39"/>
  <c r="I9" i="39" s="1"/>
  <c r="P243" i="23" s="1"/>
  <c r="AJ243" i="23" s="1"/>
  <c r="AI243" i="23" s="1"/>
  <c r="AB242" i="23" s="1"/>
  <c r="AI242" i="23" s="1"/>
  <c r="AF239" i="23" s="1"/>
  <c r="N82" i="16"/>
  <c r="N134" i="16"/>
  <c r="N51" i="16"/>
  <c r="N107" i="16"/>
  <c r="U53" i="30"/>
  <c r="U49" i="30"/>
  <c r="U40" i="30"/>
  <c r="U32" i="30"/>
  <c r="U28" i="30"/>
  <c r="U24" i="30"/>
  <c r="U63" i="30"/>
  <c r="U19" i="30"/>
  <c r="Y11" i="30"/>
  <c r="Y12" i="30"/>
  <c r="Y15" i="30"/>
  <c r="Y16" i="30"/>
  <c r="U14" i="30"/>
  <c r="Y13" i="30"/>
  <c r="Y48" i="30"/>
  <c r="Y46" i="30"/>
  <c r="Y40" i="30"/>
  <c r="Y34" i="30"/>
  <c r="Y28" i="30"/>
  <c r="Y22" i="30"/>
  <c r="Y50" i="30"/>
  <c r="Y44" i="30"/>
  <c r="Y38" i="30"/>
  <c r="Y32" i="30"/>
  <c r="Y26" i="30"/>
  <c r="Y20" i="30"/>
  <c r="Y27" i="30"/>
  <c r="Y21" i="30"/>
  <c r="Y36" i="30"/>
  <c r="Y51" i="30"/>
  <c r="Y30" i="30"/>
  <c r="Y42" i="30"/>
  <c r="Y33" i="30"/>
  <c r="Y45" i="30"/>
  <c r="Y24" i="30"/>
  <c r="Y18" i="30"/>
  <c r="Y39" i="30"/>
  <c r="Y49" i="30"/>
  <c r="Y43" i="30"/>
  <c r="Y37" i="30"/>
  <c r="Y31" i="30"/>
  <c r="Y25" i="30"/>
  <c r="Y19" i="30"/>
  <c r="Y47" i="30"/>
  <c r="Y41" i="30"/>
  <c r="Y35" i="30"/>
  <c r="Y29" i="30"/>
  <c r="Y23" i="30"/>
  <c r="Y17" i="30"/>
  <c r="R28" i="22"/>
  <c r="W28" i="22" s="1"/>
  <c r="D28" i="22" s="1"/>
  <c r="BE59" i="22"/>
  <c r="BC92" i="22"/>
  <c r="BI51" i="22"/>
  <c r="AY54" i="22"/>
  <c r="BA74" i="22"/>
  <c r="BM89" i="22"/>
  <c r="AY89" i="22"/>
  <c r="BM36" i="22"/>
  <c r="BG74" i="22"/>
  <c r="BM59" i="22"/>
  <c r="BE89" i="22"/>
  <c r="AY98" i="22"/>
  <c r="BK48" i="22"/>
  <c r="BE74" i="22"/>
  <c r="BK92" i="22"/>
  <c r="BE94" i="22"/>
  <c r="BG54" i="22"/>
  <c r="BO54" i="22"/>
  <c r="BK74" i="22"/>
  <c r="BO59" i="22"/>
  <c r="BK89" i="22"/>
  <c r="BK94" i="22"/>
  <c r="BI94" i="22"/>
  <c r="BG89" i="22"/>
  <c r="BG94" i="22"/>
  <c r="BC94" i="22"/>
  <c r="BC74" i="22"/>
  <c r="BG59" i="22"/>
  <c r="BM74" i="22"/>
  <c r="BA59" i="22"/>
  <c r="BC89" i="22"/>
  <c r="BO94" i="22"/>
  <c r="BA92" i="22"/>
  <c r="BM94" i="22"/>
  <c r="BO74" i="22"/>
  <c r="AY59" i="22"/>
  <c r="BE51" i="22"/>
  <c r="AY94" i="22"/>
  <c r="AY74" i="22"/>
  <c r="BI59" i="22"/>
  <c r="BI74" i="22"/>
  <c r="BC59" i="22"/>
  <c r="BK59" i="22"/>
  <c r="BK36" i="22"/>
  <c r="AY73" i="22"/>
  <c r="BI67" i="22"/>
  <c r="BA71" i="22"/>
  <c r="BA89" i="22"/>
  <c r="BI46" i="22"/>
  <c r="BK97" i="22"/>
  <c r="N50" i="16"/>
  <c r="N127" i="16"/>
  <c r="N88" i="16"/>
  <c r="N138" i="16"/>
  <c r="N90" i="16"/>
  <c r="N60" i="16"/>
  <c r="N98" i="16"/>
  <c r="N72" i="16"/>
  <c r="N79" i="16"/>
  <c r="N47" i="16"/>
  <c r="J47" i="16" s="1"/>
  <c r="AW15" i="22" s="1"/>
  <c r="AU15" i="22" s="1"/>
  <c r="N103" i="16"/>
  <c r="N110" i="16"/>
  <c r="N52" i="16"/>
  <c r="BO64" i="22"/>
  <c r="BO52" i="22"/>
  <c r="BM54" i="22"/>
  <c r="AY64" i="22"/>
  <c r="AY33" i="22"/>
  <c r="BM97" i="22"/>
  <c r="BM77" i="22"/>
  <c r="N117" i="16"/>
  <c r="N55" i="16"/>
  <c r="BA94" i="22"/>
  <c r="BG73" i="22"/>
  <c r="N42" i="16"/>
  <c r="N76" i="16"/>
  <c r="W39" i="22"/>
  <c r="F39" i="22" s="1"/>
  <c r="J39" i="22" s="1"/>
  <c r="W38" i="22"/>
  <c r="L102" i="22" s="1"/>
  <c r="M55" i="22"/>
  <c r="AG55" i="22" s="1"/>
  <c r="BG38" i="22"/>
  <c r="BC104" i="22"/>
  <c r="BI68" i="22"/>
  <c r="AY47" i="22"/>
  <c r="BM38" i="22"/>
  <c r="BA104" i="22"/>
  <c r="BO47" i="22"/>
  <c r="BO38" i="22"/>
  <c r="BE41" i="22"/>
  <c r="BA68" i="22"/>
  <c r="BM104" i="22"/>
  <c r="BA38" i="22"/>
  <c r="BK104" i="22"/>
  <c r="BE67" i="22"/>
  <c r="BG104" i="22"/>
  <c r="BE104" i="22"/>
  <c r="BC68" i="22"/>
  <c r="AJ60" i="22"/>
  <c r="M63" i="22"/>
  <c r="AG63" i="22" s="1"/>
  <c r="L60" i="22"/>
  <c r="AA283" i="23"/>
  <c r="AI283" i="23" s="1"/>
  <c r="R41" i="22"/>
  <c r="W41" i="22" s="1"/>
  <c r="AJ63" i="22"/>
  <c r="AJ55" i="22"/>
  <c r="Q20" i="22"/>
  <c r="W20" i="22"/>
  <c r="BO51" i="22"/>
  <c r="BK68" i="22"/>
  <c r="BG32" i="22"/>
  <c r="BC32" i="22"/>
  <c r="BK47" i="22"/>
  <c r="BI47" i="22"/>
  <c r="BE68" i="22"/>
  <c r="BM68" i="22"/>
  <c r="BM32" i="22"/>
  <c r="BA32" i="22"/>
  <c r="BG47" i="22"/>
  <c r="BA47" i="22"/>
  <c r="AY32" i="22"/>
  <c r="BE32" i="22"/>
  <c r="M50" i="22"/>
  <c r="AG50" i="22" s="1"/>
  <c r="AY68" i="22"/>
  <c r="BK32" i="22"/>
  <c r="BO32" i="22"/>
  <c r="BE47" i="22"/>
  <c r="BM47" i="22"/>
  <c r="BG68" i="22"/>
  <c r="BC47" i="22"/>
  <c r="BO68" i="22"/>
  <c r="M65" i="22"/>
  <c r="AG65" i="22" s="1"/>
  <c r="AF222" i="23"/>
  <c r="N74" i="16"/>
  <c r="B28" i="23"/>
  <c r="N68" i="16"/>
  <c r="N109" i="16"/>
  <c r="N44" i="16"/>
  <c r="N63" i="16"/>
  <c r="D23" i="22"/>
  <c r="N23" i="22"/>
  <c r="AW10" i="22"/>
  <c r="AU10" i="22" s="1"/>
  <c r="AW9" i="22"/>
  <c r="AU9" i="22" s="1"/>
  <c r="BR7" i="22"/>
  <c r="AJ50" i="22"/>
  <c r="AW13" i="22"/>
  <c r="AU13" i="22" s="1"/>
  <c r="AW20" i="22"/>
  <c r="AU20" i="22" s="1"/>
  <c r="AW19" i="22"/>
  <c r="AU19" i="22" s="1"/>
  <c r="E26" i="37"/>
  <c r="L65" i="22"/>
  <c r="AJ59" i="22"/>
  <c r="M61" i="22"/>
  <c r="AG61" i="22" s="1"/>
  <c r="L59" i="22"/>
  <c r="M52" i="22"/>
  <c r="AG52" i="22" s="1"/>
  <c r="AJ47" i="22"/>
  <c r="L62" i="22"/>
  <c r="L26" i="38"/>
  <c r="F26" i="38"/>
  <c r="G26" i="38"/>
  <c r="AG59" i="35"/>
  <c r="R60" i="35"/>
  <c r="AC60" i="35"/>
  <c r="M60" i="35"/>
  <c r="AB60" i="35"/>
  <c r="L60" i="35"/>
  <c r="AE60" i="35"/>
  <c r="S60" i="35"/>
  <c r="V60" i="35"/>
  <c r="F60" i="35"/>
  <c r="Q60" i="35"/>
  <c r="AF60" i="35"/>
  <c r="P60" i="35"/>
  <c r="G60" i="35"/>
  <c r="K60" i="35"/>
  <c r="J60" i="35"/>
  <c r="E60" i="35"/>
  <c r="W60" i="35"/>
  <c r="BM60" i="35"/>
  <c r="AW60" i="35"/>
  <c r="BH60" i="35"/>
  <c r="AR60" i="35"/>
  <c r="BG60" i="35"/>
  <c r="AQ60" i="35"/>
  <c r="AT60" i="35"/>
  <c r="AD60" i="35"/>
  <c r="Y60" i="35"/>
  <c r="X60" i="35"/>
  <c r="O60" i="35"/>
  <c r="Z60" i="35"/>
  <c r="U60" i="35"/>
  <c r="T60" i="35"/>
  <c r="AA60" i="35"/>
  <c r="N60" i="35"/>
  <c r="I60" i="35"/>
  <c r="H60" i="35"/>
  <c r="BI60" i="35"/>
  <c r="AO60" i="35"/>
  <c r="AV60" i="35"/>
  <c r="BC60" i="35"/>
  <c r="AX60" i="35"/>
  <c r="BB60" i="35"/>
  <c r="BE60" i="35"/>
  <c r="BL60" i="35"/>
  <c r="AN60" i="35"/>
  <c r="AY60" i="35"/>
  <c r="BJ60" i="35"/>
  <c r="BA60" i="35"/>
  <c r="BO60" i="35"/>
  <c r="BF60" i="35"/>
  <c r="AS60" i="35"/>
  <c r="BK60" i="35"/>
  <c r="AP60" i="35"/>
  <c r="BD60" i="35"/>
  <c r="AU60" i="35"/>
  <c r="AZ60" i="35"/>
  <c r="BN60" i="35"/>
  <c r="AC30" i="35"/>
  <c r="M30" i="35"/>
  <c r="AB30" i="35"/>
  <c r="L30" i="35"/>
  <c r="W30" i="35"/>
  <c r="G30" i="35"/>
  <c r="V30" i="35"/>
  <c r="Y30" i="35"/>
  <c r="I30" i="35"/>
  <c r="X30" i="35"/>
  <c r="H30" i="35"/>
  <c r="S30" i="35"/>
  <c r="R30" i="35"/>
  <c r="F30" i="35"/>
  <c r="Q30" i="35"/>
  <c r="AF30" i="35"/>
  <c r="P30" i="35"/>
  <c r="AA30" i="35"/>
  <c r="K30" i="35"/>
  <c r="J30" i="35"/>
  <c r="N30" i="35"/>
  <c r="AE30" i="35"/>
  <c r="BC30" i="35"/>
  <c r="BN30" i="35"/>
  <c r="AX30" i="35"/>
  <c r="BI30" i="35"/>
  <c r="AS30" i="35"/>
  <c r="BD30" i="35"/>
  <c r="BL30" i="35"/>
  <c r="U30" i="35"/>
  <c r="O30" i="35"/>
  <c r="E30" i="35"/>
  <c r="Z30" i="35"/>
  <c r="AG29" i="35"/>
  <c r="T30" i="35"/>
  <c r="AD30" i="35"/>
  <c r="BG30" i="35"/>
  <c r="BJ30" i="35"/>
  <c r="AP30" i="35"/>
  <c r="AW30" i="35"/>
  <c r="AN30" i="35"/>
  <c r="AY30" i="35"/>
  <c r="BF30" i="35"/>
  <c r="BM30" i="35"/>
  <c r="AO30" i="35"/>
  <c r="AV30" i="35"/>
  <c r="AU30" i="35"/>
  <c r="BE30" i="35"/>
  <c r="AZ30" i="35"/>
  <c r="AQ30" i="35"/>
  <c r="BA30" i="35"/>
  <c r="BO30" i="35"/>
  <c r="BB30" i="35"/>
  <c r="BH30" i="35"/>
  <c r="BK30" i="35"/>
  <c r="AT30" i="35"/>
  <c r="AR30" i="35"/>
  <c r="X40" i="35"/>
  <c r="AE40" i="35"/>
  <c r="Z40" i="35"/>
  <c r="Q40" i="35"/>
  <c r="BE40" i="35"/>
  <c r="AZ40" i="35"/>
  <c r="AY40" i="35"/>
  <c r="BB40" i="35"/>
  <c r="AB40" i="35"/>
  <c r="W40" i="35"/>
  <c r="R40" i="35"/>
  <c r="M40" i="35"/>
  <c r="AW40" i="35"/>
  <c r="AR40" i="35"/>
  <c r="AQ40" i="35"/>
  <c r="L40" i="35"/>
  <c r="G40" i="35"/>
  <c r="Y40" i="35"/>
  <c r="BM40" i="35"/>
  <c r="BH40" i="35"/>
  <c r="BG40" i="35"/>
  <c r="AP40" i="35"/>
  <c r="E40" i="35"/>
  <c r="T40" i="35"/>
  <c r="AO40" i="35"/>
  <c r="O40" i="35"/>
  <c r="BO40" i="35"/>
  <c r="J40" i="35"/>
  <c r="AT40" i="35"/>
  <c r="AG54" i="35"/>
  <c r="R55" i="35"/>
  <c r="AC55" i="35"/>
  <c r="M55" i="35"/>
  <c r="AB55" i="35"/>
  <c r="L55" i="35"/>
  <c r="W55" i="35"/>
  <c r="K55" i="35"/>
  <c r="AD55" i="35"/>
  <c r="N55" i="35"/>
  <c r="Y55" i="35"/>
  <c r="I55" i="35"/>
  <c r="X55" i="35"/>
  <c r="H55" i="35"/>
  <c r="G55" i="35"/>
  <c r="V55" i="35"/>
  <c r="F55" i="35"/>
  <c r="Q55" i="35"/>
  <c r="AF55" i="35"/>
  <c r="P55" i="35"/>
  <c r="O55" i="35"/>
  <c r="AA55" i="35"/>
  <c r="Z55" i="35"/>
  <c r="T55" i="35"/>
  <c r="BL55" i="35"/>
  <c r="AV55" i="35"/>
  <c r="BK55" i="35"/>
  <c r="AU55" i="35"/>
  <c r="BF55" i="35"/>
  <c r="AP55" i="35"/>
  <c r="AS55" i="35"/>
  <c r="J55" i="35"/>
  <c r="AE55" i="35"/>
  <c r="U55" i="35"/>
  <c r="S55" i="35"/>
  <c r="E55" i="35"/>
  <c r="BH55" i="35"/>
  <c r="AN55" i="35"/>
  <c r="AY55" i="35"/>
  <c r="BB55" i="35"/>
  <c r="AW55" i="35"/>
  <c r="BA55" i="35"/>
  <c r="BD55" i="35"/>
  <c r="BO55" i="35"/>
  <c r="AQ55" i="35"/>
  <c r="AX55" i="35"/>
  <c r="BI55" i="35"/>
  <c r="BG55" i="35"/>
  <c r="AT55" i="35"/>
  <c r="BC55" i="35"/>
  <c r="BM55" i="35"/>
  <c r="AZ55" i="35"/>
  <c r="BN55" i="35"/>
  <c r="BE55" i="35"/>
  <c r="AR55" i="35"/>
  <c r="BJ55" i="35"/>
  <c r="AO55" i="35"/>
  <c r="S65" i="35"/>
  <c r="AD65" i="35"/>
  <c r="N65" i="35"/>
  <c r="Y65" i="35"/>
  <c r="I65" i="35"/>
  <c r="X65" i="35"/>
  <c r="L65" i="35"/>
  <c r="BN65" i="35"/>
  <c r="AX65" i="35"/>
  <c r="BI65" i="35"/>
  <c r="AS65" i="35"/>
  <c r="BD65" i="35"/>
  <c r="AN65" i="35"/>
  <c r="W65" i="35"/>
  <c r="G65" i="35"/>
  <c r="R65" i="35"/>
  <c r="AC65" i="35"/>
  <c r="M65" i="35"/>
  <c r="P65" i="35"/>
  <c r="AB65" i="35"/>
  <c r="BB65" i="35"/>
  <c r="BM65" i="35"/>
  <c r="AW65" i="35"/>
  <c r="BH65" i="35"/>
  <c r="AR65" i="35"/>
  <c r="BK65" i="35"/>
  <c r="K65" i="35"/>
  <c r="F65" i="35"/>
  <c r="AF65" i="35"/>
  <c r="AP65" i="35"/>
  <c r="BL65" i="35"/>
  <c r="AY65" i="35"/>
  <c r="BC65" i="35"/>
  <c r="AE65" i="35"/>
  <c r="Z65" i="35"/>
  <c r="U65" i="35"/>
  <c r="H65" i="35"/>
  <c r="BJ65" i="35"/>
  <c r="BE65" i="35"/>
  <c r="AZ65" i="35"/>
  <c r="AU65" i="35"/>
  <c r="AG64" i="35"/>
  <c r="AA65" i="35"/>
  <c r="V65" i="35"/>
  <c r="Q65" i="35"/>
  <c r="T65" i="35"/>
  <c r="BF65" i="35"/>
  <c r="BA65" i="35"/>
  <c r="AV65" i="35"/>
  <c r="BG65" i="35"/>
  <c r="O65" i="35"/>
  <c r="J65" i="35"/>
  <c r="E65" i="35"/>
  <c r="AT65" i="35"/>
  <c r="AO65" i="35"/>
  <c r="BO65" i="35"/>
  <c r="AQ65" i="35"/>
  <c r="AG49" i="35"/>
  <c r="S50" i="35"/>
  <c r="AD50" i="35"/>
  <c r="N50" i="35"/>
  <c r="Y50" i="35"/>
  <c r="I50" i="35"/>
  <c r="X50" i="35"/>
  <c r="L50" i="35"/>
  <c r="W50" i="35"/>
  <c r="G50" i="35"/>
  <c r="R50" i="35"/>
  <c r="AC50" i="35"/>
  <c r="M50" i="35"/>
  <c r="P50" i="35"/>
  <c r="AB50" i="35"/>
  <c r="AA50" i="35"/>
  <c r="V50" i="35"/>
  <c r="Q50" i="35"/>
  <c r="T50" i="35"/>
  <c r="BC50" i="35"/>
  <c r="BN50" i="35"/>
  <c r="AX50" i="35"/>
  <c r="BI50" i="35"/>
  <c r="AS50" i="35"/>
  <c r="BH50" i="35"/>
  <c r="AZ50" i="35"/>
  <c r="O50" i="35"/>
  <c r="J50" i="35"/>
  <c r="E50" i="35"/>
  <c r="K50" i="35"/>
  <c r="F50" i="35"/>
  <c r="AF50" i="35"/>
  <c r="AE50" i="35"/>
  <c r="Z50" i="35"/>
  <c r="U50" i="35"/>
  <c r="H50" i="35"/>
  <c r="AY50" i="35"/>
  <c r="BF50" i="35"/>
  <c r="BM50" i="35"/>
  <c r="AO50" i="35"/>
  <c r="BD50" i="35"/>
  <c r="BO50" i="35"/>
  <c r="AU50" i="35"/>
  <c r="BB50" i="35"/>
  <c r="BE50" i="35"/>
  <c r="BL50" i="35"/>
  <c r="AN50" i="35"/>
  <c r="AQ50" i="35"/>
  <c r="BA50" i="35"/>
  <c r="BJ50" i="35"/>
  <c r="AW50" i="35"/>
  <c r="BK50" i="35"/>
  <c r="AT50" i="35"/>
  <c r="AV50" i="35"/>
  <c r="BG50" i="35"/>
  <c r="AP50" i="35"/>
  <c r="AR50" i="35"/>
  <c r="X15" i="35"/>
  <c r="H15" i="35"/>
  <c r="R15" i="35"/>
  <c r="AE15" i="35"/>
  <c r="M15" i="35"/>
  <c r="S15" i="35"/>
  <c r="E15" i="35"/>
  <c r="AC15" i="35"/>
  <c r="T15" i="35"/>
  <c r="AF15" i="35"/>
  <c r="AD15" i="35"/>
  <c r="L15" i="35"/>
  <c r="V15" i="35"/>
  <c r="F15" i="35"/>
  <c r="Q15" i="35"/>
  <c r="W15" i="35"/>
  <c r="G15" i="35"/>
  <c r="Y15" i="35"/>
  <c r="J15" i="35"/>
  <c r="AB15" i="35"/>
  <c r="AY15" i="35"/>
  <c r="BO15" i="35"/>
  <c r="BD15" i="35"/>
  <c r="AS15" i="35"/>
  <c r="BI15" i="35"/>
  <c r="AN15" i="35"/>
  <c r="BJ15" i="35"/>
  <c r="AG14" i="35"/>
  <c r="P15" i="35"/>
  <c r="Z15" i="35"/>
  <c r="O15" i="35"/>
  <c r="AA15" i="35"/>
  <c r="U15" i="35"/>
  <c r="K15" i="35"/>
  <c r="N15" i="35"/>
  <c r="I15" i="35"/>
  <c r="AQ15" i="35"/>
  <c r="BK15" i="35"/>
  <c r="BH15" i="35"/>
  <c r="BA15" i="35"/>
  <c r="BF15" i="35"/>
  <c r="BN15" i="35"/>
  <c r="AU15" i="35"/>
  <c r="AR15" i="35"/>
  <c r="BL15" i="35"/>
  <c r="BE15" i="35"/>
  <c r="AP15" i="35"/>
  <c r="AV15" i="35"/>
  <c r="BM15" i="35"/>
  <c r="AZ15" i="35"/>
  <c r="BB15" i="35"/>
  <c r="BC15" i="35"/>
  <c r="AO15" i="35"/>
  <c r="AX15" i="35"/>
  <c r="BG15" i="35"/>
  <c r="AW15" i="35"/>
  <c r="AT15" i="35"/>
  <c r="AD10" i="35"/>
  <c r="AG9" i="35"/>
  <c r="AO10" i="35"/>
  <c r="BE10" i="35"/>
  <c r="AT10" i="35"/>
  <c r="BJ10" i="35"/>
  <c r="AY10" i="35"/>
  <c r="BO10" i="35"/>
  <c r="AZ10" i="35"/>
  <c r="BA10" i="35"/>
  <c r="AP10" i="35"/>
  <c r="BF10" i="35"/>
  <c r="AU10" i="35"/>
  <c r="BK10" i="35"/>
  <c r="AV10" i="35"/>
  <c r="BL10" i="35"/>
  <c r="AW10" i="35"/>
  <c r="BB10" i="35"/>
  <c r="BG10" i="35"/>
  <c r="BH10" i="35"/>
  <c r="AB10" i="35"/>
  <c r="L10" i="35"/>
  <c r="BI10" i="35"/>
  <c r="BN10" i="35"/>
  <c r="AN10" i="35"/>
  <c r="BM10" i="35"/>
  <c r="AQ10" i="35"/>
  <c r="AR10" i="35"/>
  <c r="AS10" i="35"/>
  <c r="AX10" i="35"/>
  <c r="BC10" i="35"/>
  <c r="BD10" i="35"/>
  <c r="AF10" i="35"/>
  <c r="Z10" i="35"/>
  <c r="J10" i="35"/>
  <c r="I10" i="35"/>
  <c r="G10" i="35"/>
  <c r="E10" i="35"/>
  <c r="X10" i="35"/>
  <c r="V10" i="35"/>
  <c r="R10" i="35"/>
  <c r="Q10" i="35"/>
  <c r="AC10" i="35"/>
  <c r="S10" i="35"/>
  <c r="N10" i="35"/>
  <c r="AE10" i="35"/>
  <c r="U10" i="35"/>
  <c r="K10" i="35"/>
  <c r="T10" i="35"/>
  <c r="F10" i="35"/>
  <c r="W10" i="35"/>
  <c r="M10" i="35"/>
  <c r="P10" i="35"/>
  <c r="Y10" i="35"/>
  <c r="O10" i="35"/>
  <c r="AA10" i="35"/>
  <c r="AG19" i="35"/>
  <c r="S20" i="35"/>
  <c r="AD20" i="35"/>
  <c r="N20" i="35"/>
  <c r="T20" i="35"/>
  <c r="P20" i="35"/>
  <c r="M20" i="35"/>
  <c r="I20" i="35"/>
  <c r="W20" i="35"/>
  <c r="G20" i="35"/>
  <c r="R20" i="35"/>
  <c r="AB20" i="35"/>
  <c r="X20" i="35"/>
  <c r="U20" i="35"/>
  <c r="Q20" i="35"/>
  <c r="AA20" i="35"/>
  <c r="V20" i="35"/>
  <c r="AF20" i="35"/>
  <c r="Y20" i="35"/>
  <c r="BI20" i="35"/>
  <c r="AS20" i="35"/>
  <c r="BD20" i="35"/>
  <c r="AN20" i="35"/>
  <c r="BC20" i="35"/>
  <c r="BF20" i="35"/>
  <c r="BN20" i="35"/>
  <c r="O20" i="35"/>
  <c r="J20" i="35"/>
  <c r="H20" i="35"/>
  <c r="K20" i="35"/>
  <c r="F20" i="35"/>
  <c r="AC20" i="35"/>
  <c r="AE20" i="35"/>
  <c r="Z20" i="35"/>
  <c r="L20" i="35"/>
  <c r="E20" i="35"/>
  <c r="BA20" i="35"/>
  <c r="BH20" i="35"/>
  <c r="BO20" i="35"/>
  <c r="AU20" i="35"/>
  <c r="AT20" i="35"/>
  <c r="AW20" i="35"/>
  <c r="AZ20" i="35"/>
  <c r="BK20" i="35"/>
  <c r="AQ20" i="35"/>
  <c r="AX20" i="35"/>
  <c r="BM20" i="35"/>
  <c r="AV20" i="35"/>
  <c r="AP20" i="35"/>
  <c r="BE20" i="35"/>
  <c r="AR20" i="35"/>
  <c r="BB20" i="35"/>
  <c r="AO20" i="35"/>
  <c r="BG20" i="35"/>
  <c r="BJ20" i="35"/>
  <c r="BL20" i="35"/>
  <c r="AY20" i="35"/>
  <c r="AD25" i="35"/>
  <c r="E25" i="35"/>
  <c r="Z25" i="35"/>
  <c r="T25" i="35"/>
  <c r="U25" i="35"/>
  <c r="G25" i="35"/>
  <c r="S25" i="35"/>
  <c r="BB25" i="35"/>
  <c r="BM25" i="35"/>
  <c r="AW25" i="35"/>
  <c r="BH25" i="35"/>
  <c r="AR25" i="35"/>
  <c r="BK25" i="35"/>
  <c r="AU25" i="35"/>
  <c r="J25" i="35"/>
  <c r="AX25" i="35"/>
  <c r="BE25" i="35"/>
  <c r="BL25" i="35"/>
  <c r="AN25" i="35"/>
  <c r="BO25" i="35"/>
  <c r="BN25" i="35"/>
  <c r="AT25" i="35"/>
  <c r="BA25" i="35"/>
  <c r="BD25" i="35"/>
  <c r="BG25" i="35"/>
  <c r="AY25" i="35"/>
  <c r="BJ25" i="35"/>
  <c r="AS25" i="35"/>
  <c r="AQ25" i="35"/>
  <c r="BF25" i="35"/>
  <c r="AO25" i="35"/>
  <c r="BC25" i="35"/>
  <c r="AP25" i="35"/>
  <c r="AZ25" i="35"/>
  <c r="BI25" i="35"/>
  <c r="AV25" i="35"/>
  <c r="BP45" i="35"/>
  <c r="AG45" i="35"/>
  <c r="AH44" i="35"/>
  <c r="BP40" i="35"/>
  <c r="AG40" i="35"/>
  <c r="AH39" i="35"/>
  <c r="AH34" i="35"/>
  <c r="BP35" i="35"/>
  <c r="AG35" i="35"/>
  <c r="BI89" i="22"/>
  <c r="BO89" i="22"/>
  <c r="AY85" i="22"/>
  <c r="BC85" i="22"/>
  <c r="BG85" i="22"/>
  <c r="BM85" i="22"/>
  <c r="BA85" i="22"/>
  <c r="BK85" i="22"/>
  <c r="BO85" i="22"/>
  <c r="BE85" i="22"/>
  <c r="BI85" i="22"/>
  <c r="BA51" i="22"/>
  <c r="BC51" i="22"/>
  <c r="BM81" i="22"/>
  <c r="BI81" i="22"/>
  <c r="AY56" i="22"/>
  <c r="BK86" i="22"/>
  <c r="BE92" i="22"/>
  <c r="BI92" i="22"/>
  <c r="BK64" i="22"/>
  <c r="BA64" i="22"/>
  <c r="BI64" i="22"/>
  <c r="BA48" i="22"/>
  <c r="BC48" i="22"/>
  <c r="BE91" i="22"/>
  <c r="AY35" i="22"/>
  <c r="D27" i="22"/>
  <c r="F27" i="22"/>
  <c r="AY104" i="22"/>
  <c r="BO104" i="22"/>
  <c r="AY38" i="22"/>
  <c r="BK38" i="22"/>
  <c r="BE38" i="22"/>
  <c r="BI38" i="22"/>
  <c r="BC38" i="22"/>
  <c r="AJ52" i="22"/>
  <c r="M56" i="22"/>
  <c r="AG56" i="22" s="1"/>
  <c r="AJ62" i="22"/>
  <c r="L56" i="22"/>
  <c r="M64" i="22"/>
  <c r="AG64" i="22" s="1"/>
  <c r="AJ61" i="22"/>
  <c r="L53" i="22"/>
  <c r="M53" i="22"/>
  <c r="AG53" i="22" s="1"/>
  <c r="AJ64" i="22"/>
  <c r="M47" i="22"/>
  <c r="AG47" i="22" s="1"/>
  <c r="AI30" i="22"/>
  <c r="L30" i="22" s="1"/>
  <c r="AI29" i="22"/>
  <c r="M29" i="22" s="1"/>
  <c r="AD195" i="23"/>
  <c r="AJ195" i="23"/>
  <c r="AD198" i="23"/>
  <c r="AJ198" i="23"/>
  <c r="AJ48" i="22"/>
  <c r="L48" i="22"/>
  <c r="E38" i="22"/>
  <c r="M48" i="22"/>
  <c r="AG48" i="22" s="1"/>
  <c r="L51" i="22"/>
  <c r="AJ51" i="22"/>
  <c r="L58" i="22"/>
  <c r="AJ58" i="22"/>
  <c r="F25" i="22"/>
  <c r="D25" i="22"/>
  <c r="W18" i="22"/>
  <c r="E18" i="22" s="1"/>
  <c r="B22" i="22"/>
  <c r="D106" i="22"/>
  <c r="D22" i="22"/>
  <c r="S43" i="16"/>
  <c r="S57" i="16"/>
  <c r="S49" i="16"/>
  <c r="S47" i="16"/>
  <c r="S41" i="16"/>
  <c r="AF5" i="31"/>
  <c r="R6" i="31"/>
  <c r="M6" i="31"/>
  <c r="V5" i="31"/>
  <c r="K6" i="31"/>
  <c r="Z5" i="31"/>
  <c r="M5" i="31"/>
  <c r="W5" i="31"/>
  <c r="U6" i="31"/>
  <c r="N6" i="31"/>
  <c r="H5" i="31"/>
  <c r="AG6" i="31"/>
  <c r="G1" i="31"/>
  <c r="AE6" i="31"/>
  <c r="S5" i="31"/>
  <c r="P5" i="31"/>
  <c r="G5" i="31"/>
  <c r="P6" i="31"/>
  <c r="V6" i="31"/>
  <c r="R5" i="31"/>
  <c r="AG5" i="31"/>
  <c r="W6" i="31"/>
  <c r="AD6" i="31"/>
  <c r="N5" i="31"/>
  <c r="X5" i="31"/>
  <c r="F5" i="31"/>
  <c r="J5" i="31"/>
  <c r="S6" i="31"/>
  <c r="AA5" i="31"/>
  <c r="K5" i="31"/>
  <c r="Y5" i="31"/>
  <c r="AB5" i="31"/>
  <c r="AC5" i="31"/>
  <c r="AC6" i="31"/>
  <c r="L6" i="31"/>
  <c r="AH4" i="31"/>
  <c r="G6" i="31"/>
  <c r="I5" i="31"/>
  <c r="J6" i="31"/>
  <c r="X6" i="31"/>
  <c r="F6" i="31"/>
  <c r="AA6" i="31"/>
  <c r="H6" i="31"/>
  <c r="T6" i="31"/>
  <c r="AD5" i="31"/>
  <c r="Z6" i="31"/>
  <c r="AB6" i="31"/>
  <c r="Q6" i="31"/>
  <c r="Q5" i="31"/>
  <c r="O5" i="31"/>
  <c r="T5" i="31"/>
  <c r="AE5" i="31"/>
  <c r="L5" i="31"/>
  <c r="O6" i="31"/>
  <c r="U5" i="31"/>
  <c r="AF6" i="31"/>
  <c r="Y6" i="31"/>
  <c r="I6" i="31"/>
  <c r="S45" i="16"/>
  <c r="D42" i="22"/>
  <c r="AI42" i="22"/>
  <c r="S42" i="16"/>
  <c r="S54" i="16"/>
  <c r="S56" i="16"/>
  <c r="AJ66" i="22"/>
  <c r="L66" i="22"/>
  <c r="S52" i="16"/>
  <c r="S51" i="16"/>
  <c r="J293" i="23"/>
  <c r="AJ38" i="23" s="1"/>
  <c r="B38" i="23" s="1"/>
  <c r="R35" i="22"/>
  <c r="W35" i="22" s="1"/>
  <c r="L100" i="22" s="1"/>
  <c r="J34" i="38"/>
  <c r="E34" i="38"/>
  <c r="N34" i="38"/>
  <c r="J33" i="22"/>
  <c r="I34" i="38"/>
  <c r="J41" i="22"/>
  <c r="H34" i="38"/>
  <c r="M34" i="38"/>
  <c r="F34" i="38"/>
  <c r="AL196" i="23"/>
  <c r="H196" i="23"/>
  <c r="L34" i="38"/>
  <c r="D66" i="38"/>
  <c r="R68" i="38" s="1"/>
  <c r="R26" i="38"/>
  <c r="X68" i="22"/>
  <c r="X39" i="22"/>
  <c r="BE52" i="22" l="1"/>
  <c r="BG79" i="22"/>
  <c r="BK79" i="22"/>
  <c r="BI79" i="22"/>
  <c r="BK56" i="22"/>
  <c r="BC79" i="22"/>
  <c r="BE79" i="22"/>
  <c r="BG53" i="22"/>
  <c r="AY82" i="22"/>
  <c r="BC86" i="22"/>
  <c r="BO79" i="22"/>
  <c r="BC93" i="22"/>
  <c r="BA93" i="22"/>
  <c r="BO56" i="22"/>
  <c r="BI52" i="22"/>
  <c r="AY79" i="22"/>
  <c r="AU103" i="22"/>
  <c r="BI107" i="22"/>
  <c r="BA53" i="22"/>
  <c r="BO107" i="22"/>
  <c r="BG107" i="22"/>
  <c r="BK33" i="22"/>
  <c r="BO33" i="22"/>
  <c r="BE76" i="22"/>
  <c r="AU107" i="22"/>
  <c r="BK105" i="22"/>
  <c r="BC84" i="22"/>
  <c r="BA33" i="22"/>
  <c r="BG33" i="22"/>
  <c r="AD221" i="23"/>
  <c r="AI221" i="23" s="1"/>
  <c r="BM53" i="22"/>
  <c r="BM107" i="22"/>
  <c r="AU105" i="22"/>
  <c r="BI33" i="22"/>
  <c r="BC107" i="22"/>
  <c r="BE107" i="22"/>
  <c r="BC33" i="22"/>
  <c r="AY34" i="22"/>
  <c r="BE53" i="22"/>
  <c r="BG82" i="22"/>
  <c r="BA107" i="22"/>
  <c r="BE105" i="22"/>
  <c r="BK107" i="22"/>
  <c r="BM33" i="22"/>
  <c r="BE82" i="22"/>
  <c r="BE33" i="22"/>
  <c r="BG58" i="22"/>
  <c r="W37" i="22"/>
  <c r="D37" i="22" s="1"/>
  <c r="BO29" i="22"/>
  <c r="AU29" i="22"/>
  <c r="BM29" i="22"/>
  <c r="BM43" i="22"/>
  <c r="BC35" i="22"/>
  <c r="BG29" i="22"/>
  <c r="BM99" i="22"/>
  <c r="BK43" i="22"/>
  <c r="BG91" i="22"/>
  <c r="BO39" i="22"/>
  <c r="AY29" i="22"/>
  <c r="BG35" i="22"/>
  <c r="BI35" i="22"/>
  <c r="BA35" i="22"/>
  <c r="AY99" i="22"/>
  <c r="BI29" i="22"/>
  <c r="BK35" i="22"/>
  <c r="BI45" i="22"/>
  <c r="BA99" i="22"/>
  <c r="BA100" i="22"/>
  <c r="BO43" i="22"/>
  <c r="BG99" i="22"/>
  <c r="BE43" i="22"/>
  <c r="AU43" i="22"/>
  <c r="BM35" i="22"/>
  <c r="BM45" i="22"/>
  <c r="BK72" i="22"/>
  <c r="BK99" i="22"/>
  <c r="BK29" i="22"/>
  <c r="AY43" i="22"/>
  <c r="BA43" i="22"/>
  <c r="BO35" i="22"/>
  <c r="BE35" i="22"/>
  <c r="BE29" i="22"/>
  <c r="BC99" i="22"/>
  <c r="BI43" i="22"/>
  <c r="BE100" i="22"/>
  <c r="BE99" i="22"/>
  <c r="BI101" i="22"/>
  <c r="BG43" i="22"/>
  <c r="BC100" i="22"/>
  <c r="BA29" i="22"/>
  <c r="AY100" i="22"/>
  <c r="BK91" i="22"/>
  <c r="BM72" i="22"/>
  <c r="AY72" i="22"/>
  <c r="BG72" i="22"/>
  <c r="BC39" i="22"/>
  <c r="BI72" i="22"/>
  <c r="BM100" i="22"/>
  <c r="BO91" i="22"/>
  <c r="BA72" i="22"/>
  <c r="BG39" i="22"/>
  <c r="BA39" i="22"/>
  <c r="BG101" i="22"/>
  <c r="BK100" i="22"/>
  <c r="BA91" i="22"/>
  <c r="BO72" i="22"/>
  <c r="AY101" i="22"/>
  <c r="BO101" i="22"/>
  <c r="BC91" i="22"/>
  <c r="BC72" i="22"/>
  <c r="BO100" i="22"/>
  <c r="BE72" i="22"/>
  <c r="BM39" i="22"/>
  <c r="BA101" i="22"/>
  <c r="BE39" i="22"/>
  <c r="BM91" i="22"/>
  <c r="BI91" i="22"/>
  <c r="BI39" i="22"/>
  <c r="AY39" i="22"/>
  <c r="BI100" i="22"/>
  <c r="AY91" i="22"/>
  <c r="BG100" i="22"/>
  <c r="BK39" i="22"/>
  <c r="BM101" i="22"/>
  <c r="AY45" i="22"/>
  <c r="BC45" i="22"/>
  <c r="AY96" i="22"/>
  <c r="BC60" i="22"/>
  <c r="AY60" i="22"/>
  <c r="BK60" i="22"/>
  <c r="BM96" i="22"/>
  <c r="BK45" i="22"/>
  <c r="BI65" i="22"/>
  <c r="BE106" i="22"/>
  <c r="BE45" i="22"/>
  <c r="BC65" i="22"/>
  <c r="BG45" i="22"/>
  <c r="BC96" i="22"/>
  <c r="BE65" i="22"/>
  <c r="BK96" i="22"/>
  <c r="BA65" i="22"/>
  <c r="BE96" i="22"/>
  <c r="BM65" i="22"/>
  <c r="BA45" i="22"/>
  <c r="BO65" i="22"/>
  <c r="BA60" i="22"/>
  <c r="BA96" i="22"/>
  <c r="BG60" i="22"/>
  <c r="BO60" i="22"/>
  <c r="AY65" i="22"/>
  <c r="BG96" i="22"/>
  <c r="BG65" i="22"/>
  <c r="BK65" i="22"/>
  <c r="BE60" i="22"/>
  <c r="BI60" i="22"/>
  <c r="BM60" i="22"/>
  <c r="BO45" i="22"/>
  <c r="BM42" i="22"/>
  <c r="BG40" i="22"/>
  <c r="BC40" i="22"/>
  <c r="BK101" i="22"/>
  <c r="BA87" i="22"/>
  <c r="BG55" i="22"/>
  <c r="BC101" i="22"/>
  <c r="BE101" i="22"/>
  <c r="BM79" i="22"/>
  <c r="BI42" i="22"/>
  <c r="BM70" i="22"/>
  <c r="BA55" i="22"/>
  <c r="BE42" i="22"/>
  <c r="BC55" i="22"/>
  <c r="BI87" i="22"/>
  <c r="BM55" i="22"/>
  <c r="BO70" i="22"/>
  <c r="BI99" i="22"/>
  <c r="BO99" i="22"/>
  <c r="BA80" i="22"/>
  <c r="AY95" i="22"/>
  <c r="BO40" i="22"/>
  <c r="BO87" i="22"/>
  <c r="BK87" i="22"/>
  <c r="BG70" i="22"/>
  <c r="AU87" i="22"/>
  <c r="BK55" i="22"/>
  <c r="BI40" i="22"/>
  <c r="AY40" i="22"/>
  <c r="BE87" i="22"/>
  <c r="BM80" i="22"/>
  <c r="BE70" i="22"/>
  <c r="BE55" i="22"/>
  <c r="BG42" i="22"/>
  <c r="AY55" i="22"/>
  <c r="BG87" i="22"/>
  <c r="BA40" i="22"/>
  <c r="BC70" i="22"/>
  <c r="AY70" i="22"/>
  <c r="AY42" i="22"/>
  <c r="BA69" i="22"/>
  <c r="BC87" i="22"/>
  <c r="BK40" i="22"/>
  <c r="BM87" i="22"/>
  <c r="BG80" i="22"/>
  <c r="BK42" i="22"/>
  <c r="BI69" i="22"/>
  <c r="BE57" i="22"/>
  <c r="BK70" i="22"/>
  <c r="BE40" i="22"/>
  <c r="BI83" i="22"/>
  <c r="BO55" i="22"/>
  <c r="BI55" i="22"/>
  <c r="BA42" i="22"/>
  <c r="BK78" i="22"/>
  <c r="BG57" i="22"/>
  <c r="BA70" i="22"/>
  <c r="BM40" i="22"/>
  <c r="BI70" i="22"/>
  <c r="BC42" i="22"/>
  <c r="BO42" i="22"/>
  <c r="BE103" i="22"/>
  <c r="BE80" i="22"/>
  <c r="BC78" i="22"/>
  <c r="BK93" i="22"/>
  <c r="BK57" i="22"/>
  <c r="BK83" i="22"/>
  <c r="AY53" i="22"/>
  <c r="BC80" i="22"/>
  <c r="AY80" i="22"/>
  <c r="BO82" i="22"/>
  <c r="BM69" i="22"/>
  <c r="BG69" i="22"/>
  <c r="BA103" i="22"/>
  <c r="BG83" i="22"/>
  <c r="BI82" i="22"/>
  <c r="BI58" i="22"/>
  <c r="BM57" i="22"/>
  <c r="BC82" i="22"/>
  <c r="BI53" i="22"/>
  <c r="BM93" i="22"/>
  <c r="BM103" i="22"/>
  <c r="BI103" i="22"/>
  <c r="BC103" i="22"/>
  <c r="BC53" i="22"/>
  <c r="BO69" i="22"/>
  <c r="BO57" i="22"/>
  <c r="AY83" i="22"/>
  <c r="BK82" i="22"/>
  <c r="AY58" i="22"/>
  <c r="BA58" i="22"/>
  <c r="BG78" i="22"/>
  <c r="BC58" i="22"/>
  <c r="BE93" i="22"/>
  <c r="BI57" i="22"/>
  <c r="BM83" i="22"/>
  <c r="BO53" i="22"/>
  <c r="BO83" i="22"/>
  <c r="BK80" i="22"/>
  <c r="BO58" i="22"/>
  <c r="BE69" i="22"/>
  <c r="BG103" i="22"/>
  <c r="BO78" i="22"/>
  <c r="BK103" i="22"/>
  <c r="BE58" i="22"/>
  <c r="BG93" i="22"/>
  <c r="BC57" i="22"/>
  <c r="BA83" i="22"/>
  <c r="BC83" i="22"/>
  <c r="BE83" i="22"/>
  <c r="BA82" i="22"/>
  <c r="BM82" i="22"/>
  <c r="BO80" i="22"/>
  <c r="BM78" i="22"/>
  <c r="BM88" i="22"/>
  <c r="BM58" i="22"/>
  <c r="AY93" i="22"/>
  <c r="AY57" i="22"/>
  <c r="BK53" i="22"/>
  <c r="BI93" i="22"/>
  <c r="BO93" i="22"/>
  <c r="BI80" i="22"/>
  <c r="BK58" i="22"/>
  <c r="BI78" i="22"/>
  <c r="BA57" i="22"/>
  <c r="L1" i="38"/>
  <c r="BC69" i="22"/>
  <c r="AU69" i="22"/>
  <c r="BE78" i="22"/>
  <c r="AU78" i="22"/>
  <c r="BK69" i="22"/>
  <c r="BO96" i="22"/>
  <c r="BA78" i="22"/>
  <c r="BI96" i="22"/>
  <c r="W19" i="22"/>
  <c r="E19" i="22" s="1"/>
  <c r="AY44" i="22"/>
  <c r="BM34" i="22"/>
  <c r="BC34" i="22"/>
  <c r="BI86" i="22"/>
  <c r="AY86" i="22"/>
  <c r="BC52" i="22"/>
  <c r="BE56" i="22"/>
  <c r="BM84" i="22"/>
  <c r="BO84" i="22"/>
  <c r="BO105" i="22"/>
  <c r="BG105" i="22"/>
  <c r="AY105" i="22"/>
  <c r="BC76" i="22"/>
  <c r="BA76" i="22"/>
  <c r="AY76" i="22"/>
  <c r="BG34" i="22"/>
  <c r="BO34" i="22"/>
  <c r="BC56" i="22"/>
  <c r="BC44" i="22"/>
  <c r="BE34" i="22"/>
  <c r="AY75" i="22"/>
  <c r="BM86" i="22"/>
  <c r="BA86" i="22"/>
  <c r="BG52" i="22"/>
  <c r="BA52" i="22"/>
  <c r="BM56" i="22"/>
  <c r="BG84" i="22"/>
  <c r="BE84" i="22"/>
  <c r="BC105" i="22"/>
  <c r="BM105" i="22"/>
  <c r="BI76" i="22"/>
  <c r="BM76" i="22"/>
  <c r="BK76" i="22"/>
  <c r="BA84" i="22"/>
  <c r="BI56" i="22"/>
  <c r="BA56" i="22"/>
  <c r="AU56" i="22"/>
  <c r="BK44" i="22"/>
  <c r="BI34" i="22"/>
  <c r="BO75" i="22"/>
  <c r="BG86" i="22"/>
  <c r="BE86" i="22"/>
  <c r="BO86" i="22"/>
  <c r="AY52" i="22"/>
  <c r="BK52" i="22"/>
  <c r="AY84" i="22"/>
  <c r="BK84" i="22"/>
  <c r="BI84" i="22"/>
  <c r="BI105" i="22"/>
  <c r="BA34" i="22"/>
  <c r="BO76" i="22"/>
  <c r="BM52" i="22"/>
  <c r="BG76" i="22"/>
  <c r="BK34" i="22"/>
  <c r="BG44" i="22"/>
  <c r="BE44" i="22"/>
  <c r="BC75" i="22"/>
  <c r="BI61" i="22"/>
  <c r="BE63" i="22"/>
  <c r="BP25" i="35"/>
  <c r="AY88" i="22"/>
  <c r="BI95" i="22"/>
  <c r="AG25" i="35"/>
  <c r="BA88" i="22"/>
  <c r="I39" i="22"/>
  <c r="AI38" i="22"/>
  <c r="M38" i="22" s="1"/>
  <c r="J187" i="23"/>
  <c r="E39" i="22"/>
  <c r="BG66" i="22"/>
  <c r="BE30" i="22"/>
  <c r="BE61" i="22"/>
  <c r="BG90" i="22"/>
  <c r="BC90" i="22"/>
  <c r="BK30" i="22"/>
  <c r="AY37" i="22"/>
  <c r="AY90" i="22"/>
  <c r="BK90" i="22"/>
  <c r="BO61" i="22"/>
  <c r="BG88" i="22"/>
  <c r="BK88" i="22"/>
  <c r="BC95" i="22"/>
  <c r="BM95" i="22"/>
  <c r="AY50" i="22"/>
  <c r="BK95" i="22"/>
  <c r="BO88" i="22"/>
  <c r="BE50" i="22"/>
  <c r="BG31" i="22"/>
  <c r="BI66" i="22"/>
  <c r="AY30" i="22"/>
  <c r="BG30" i="22"/>
  <c r="BE31" i="22"/>
  <c r="BI90" i="22"/>
  <c r="BO30" i="22"/>
  <c r="BC66" i="22"/>
  <c r="BM30" i="22"/>
  <c r="BE90" i="22"/>
  <c r="BO90" i="22"/>
  <c r="BC61" i="22"/>
  <c r="BE102" i="22"/>
  <c r="BC30" i="22"/>
  <c r="BA30" i="22"/>
  <c r="BK66" i="22"/>
  <c r="BM37" i="22"/>
  <c r="BA90" i="22"/>
  <c r="BM49" i="22"/>
  <c r="BM90" i="22"/>
  <c r="BI30" i="22"/>
  <c r="AY106" i="22"/>
  <c r="BG62" i="22"/>
  <c r="BK62" i="22"/>
  <c r="BA66" i="22"/>
  <c r="BE66" i="22"/>
  <c r="AY31" i="22"/>
  <c r="BO66" i="22"/>
  <c r="BA31" i="22"/>
  <c r="BC62" i="22"/>
  <c r="BG106" i="22"/>
  <c r="BE62" i="22"/>
  <c r="BA106" i="22"/>
  <c r="BM106" i="22"/>
  <c r="BC50" i="22"/>
  <c r="AU31" i="22"/>
  <c r="BO31" i="22"/>
  <c r="BC31" i="22"/>
  <c r="BK31" i="22"/>
  <c r="BM31" i="22"/>
  <c r="AU63" i="22"/>
  <c r="BG63" i="22"/>
  <c r="BK63" i="22"/>
  <c r="AY63" i="22"/>
  <c r="BO63" i="22"/>
  <c r="BI63" i="22"/>
  <c r="BM63" i="22"/>
  <c r="BA63" i="22"/>
  <c r="AU49" i="22"/>
  <c r="BE49" i="22"/>
  <c r="BI49" i="22"/>
  <c r="BA49" i="22"/>
  <c r="BI50" i="22"/>
  <c r="BK49" i="22"/>
  <c r="BG50" i="22"/>
  <c r="AY49" i="22"/>
  <c r="V145" i="16"/>
  <c r="E16" i="16" s="1"/>
  <c r="V146" i="16"/>
  <c r="E17" i="16" s="1"/>
  <c r="V141" i="16"/>
  <c r="E12" i="16" s="1"/>
  <c r="V147" i="16"/>
  <c r="E18" i="16" s="1"/>
  <c r="V143" i="16"/>
  <c r="E14" i="16" s="1"/>
  <c r="V142" i="16"/>
  <c r="E13" i="16" s="1"/>
  <c r="V140" i="16"/>
  <c r="E11" i="16" s="1"/>
  <c r="V144" i="16"/>
  <c r="E15" i="16" s="1"/>
  <c r="AU44" i="22"/>
  <c r="BM44" i="22"/>
  <c r="BA44" i="22"/>
  <c r="BO44" i="22"/>
  <c r="AU62" i="22"/>
  <c r="BO62" i="22"/>
  <c r="D95" i="22"/>
  <c r="D100" i="22" s="1"/>
  <c r="L15" i="22"/>
  <c r="M15" i="22"/>
  <c r="BK106" i="22"/>
  <c r="BA50" i="22"/>
  <c r="BK50" i="22"/>
  <c r="BA62" i="22"/>
  <c r="AU37" i="22"/>
  <c r="BE37" i="22"/>
  <c r="BA37" i="22"/>
  <c r="BO37" i="22"/>
  <c r="BK37" i="22"/>
  <c r="BC37" i="22"/>
  <c r="BG37" i="22"/>
  <c r="AU95" i="22"/>
  <c r="BA95" i="22"/>
  <c r="BG95" i="22"/>
  <c r="BO95" i="22"/>
  <c r="BO50" i="22"/>
  <c r="BO49" i="22"/>
  <c r="AU106" i="22"/>
  <c r="BI106" i="22"/>
  <c r="BI62" i="22"/>
  <c r="AY62" i="22"/>
  <c r="AU75" i="22"/>
  <c r="BG75" i="22"/>
  <c r="BM75" i="22"/>
  <c r="BE75" i="22"/>
  <c r="BA75" i="22"/>
  <c r="BI75" i="22"/>
  <c r="AU102" i="22"/>
  <c r="BK102" i="22"/>
  <c r="BO102" i="22"/>
  <c r="BI102" i="22"/>
  <c r="AY102" i="22"/>
  <c r="BM102" i="22"/>
  <c r="BC102" i="22"/>
  <c r="BA102" i="22"/>
  <c r="BM50" i="22"/>
  <c r="BG49" i="22"/>
  <c r="BC106" i="22"/>
  <c r="AU66" i="22"/>
  <c r="AY66" i="22"/>
  <c r="AU88" i="22"/>
  <c r="BC88" i="22"/>
  <c r="BI88" i="22"/>
  <c r="AU61" i="22"/>
  <c r="BK61" i="22"/>
  <c r="BA61" i="22"/>
  <c r="AY61" i="22"/>
  <c r="BM61" i="22"/>
  <c r="AA3" i="30"/>
  <c r="AA5" i="30" s="1"/>
  <c r="AE3" i="30"/>
  <c r="AF3" i="30"/>
  <c r="AI3" i="30"/>
  <c r="AD3" i="30"/>
  <c r="AG3" i="30"/>
  <c r="AH3" i="30"/>
  <c r="AH22" i="30" s="1"/>
  <c r="AB3" i="30"/>
  <c r="Z3" i="30"/>
  <c r="AC3" i="30"/>
  <c r="AI28" i="22"/>
  <c r="M28" i="22" s="1"/>
  <c r="L95" i="22"/>
  <c r="R40" i="22"/>
  <c r="W40" i="22" s="1"/>
  <c r="L104" i="22" s="1"/>
  <c r="D41" i="22"/>
  <c r="L105" i="22"/>
  <c r="R27" i="38"/>
  <c r="G32" i="38"/>
  <c r="G34" i="38" s="1"/>
  <c r="F32" i="38"/>
  <c r="I32" i="38"/>
  <c r="E32" i="38"/>
  <c r="J32" i="38"/>
  <c r="H32" i="38"/>
  <c r="M32" i="38"/>
  <c r="N32" i="38"/>
  <c r="L32" i="38"/>
  <c r="K32" i="38"/>
  <c r="J73" i="38"/>
  <c r="L73" i="38"/>
  <c r="L75" i="38" s="1"/>
  <c r="G73" i="38"/>
  <c r="E73" i="38"/>
  <c r="D73" i="38"/>
  <c r="H73" i="38"/>
  <c r="I73" i="38"/>
  <c r="I75" i="38" s="1"/>
  <c r="M73" i="38"/>
  <c r="M75" i="38" s="1"/>
  <c r="K73" i="38"/>
  <c r="K75" i="38" s="1"/>
  <c r="F73" i="38"/>
  <c r="F75" i="38" s="1"/>
  <c r="N73" i="38"/>
  <c r="N75" i="38" s="1"/>
  <c r="AG55" i="35"/>
  <c r="BP55" i="35"/>
  <c r="AH54" i="35"/>
  <c r="AH14" i="35"/>
  <c r="BP15" i="35"/>
  <c r="AG15" i="35"/>
  <c r="AG50" i="35"/>
  <c r="BP50" i="35"/>
  <c r="AH49" i="35"/>
  <c r="AH29" i="35"/>
  <c r="AG30" i="35"/>
  <c r="BP30" i="35"/>
  <c r="AH9" i="35"/>
  <c r="AG10" i="35"/>
  <c r="BP10" i="35"/>
  <c r="AG65" i="35"/>
  <c r="BP65" i="35"/>
  <c r="AH64" i="35"/>
  <c r="AH19" i="35"/>
  <c r="BP20" i="35"/>
  <c r="AG20" i="35"/>
  <c r="AG60" i="35"/>
  <c r="BP60" i="35"/>
  <c r="AJ61" i="35" s="1"/>
  <c r="AA149" i="23" s="1"/>
  <c r="BQ45" i="35"/>
  <c r="AJ46" i="35" s="1"/>
  <c r="U149" i="23" s="1"/>
  <c r="AH45" i="35"/>
  <c r="AI24" i="35"/>
  <c r="AH25" i="35"/>
  <c r="BQ25" i="35"/>
  <c r="AI39" i="35"/>
  <c r="BQ40" i="35"/>
  <c r="AH40" i="35"/>
  <c r="AH35" i="35"/>
  <c r="BQ35" i="35"/>
  <c r="AJ36" i="35" s="1"/>
  <c r="Q149" i="23" s="1"/>
  <c r="N18" i="22"/>
  <c r="N61" i="22"/>
  <c r="L29" i="22"/>
  <c r="M30" i="22"/>
  <c r="E20" i="22"/>
  <c r="AI20" i="22"/>
  <c r="N21" i="22"/>
  <c r="O21" i="22"/>
  <c r="N20" i="22"/>
  <c r="O20" i="22"/>
  <c r="E21" i="22"/>
  <c r="I21" i="22"/>
  <c r="BA20" i="22"/>
  <c r="BK20" i="22"/>
  <c r="AY20" i="22"/>
  <c r="BO20" i="22"/>
  <c r="BG20" i="22"/>
  <c r="BE20" i="22"/>
  <c r="BC20" i="22"/>
  <c r="AY10" i="22"/>
  <c r="BC10" i="22"/>
  <c r="BG10" i="22"/>
  <c r="BO10" i="22"/>
  <c r="BK10" i="22"/>
  <c r="BI10" i="22"/>
  <c r="BE10" i="22"/>
  <c r="BO17" i="22"/>
  <c r="BI17" i="22"/>
  <c r="BK17" i="22"/>
  <c r="BG17" i="22"/>
  <c r="AY17" i="22"/>
  <c r="BA17" i="22"/>
  <c r="BC17" i="22"/>
  <c r="BA25" i="22"/>
  <c r="BI25" i="22"/>
  <c r="BC25" i="22"/>
  <c r="BG25" i="22"/>
  <c r="BO25" i="22"/>
  <c r="AY25" i="22"/>
  <c r="BE25" i="22"/>
  <c r="BK25" i="22"/>
  <c r="BO24" i="22"/>
  <c r="AY24" i="22"/>
  <c r="BA24" i="22"/>
  <c r="BI24" i="22"/>
  <c r="BK24" i="22"/>
  <c r="BG24" i="22"/>
  <c r="BE24" i="22"/>
  <c r="BC24" i="22"/>
  <c r="BA22" i="22"/>
  <c r="BI22" i="22"/>
  <c r="BE22" i="22"/>
  <c r="BG22" i="22"/>
  <c r="AY22" i="22"/>
  <c r="BO22" i="22"/>
  <c r="BC22" i="22"/>
  <c r="L42" i="22"/>
  <c r="M42" i="22"/>
  <c r="BK9" i="22"/>
  <c r="BE9" i="22"/>
  <c r="BC9" i="22"/>
  <c r="BG9" i="22"/>
  <c r="AY9" i="22"/>
  <c r="BI9" i="22"/>
  <c r="BO11" i="22"/>
  <c r="BC11" i="22"/>
  <c r="BI11" i="22"/>
  <c r="BG11" i="22"/>
  <c r="BK11" i="22"/>
  <c r="BE11" i="22"/>
  <c r="AY11" i="22"/>
  <c r="BA19" i="22"/>
  <c r="BC19" i="22"/>
  <c r="BO19" i="22"/>
  <c r="BK19" i="22"/>
  <c r="BG19" i="22"/>
  <c r="BE19" i="22"/>
  <c r="AY19" i="22"/>
  <c r="BG13" i="22"/>
  <c r="BA13" i="22"/>
  <c r="AY13" i="22"/>
  <c r="BC13" i="22"/>
  <c r="BO13" i="22"/>
  <c r="BK13" i="22"/>
  <c r="BI13" i="22"/>
  <c r="BE13" i="22"/>
  <c r="AI4" i="31"/>
  <c r="AH5" i="31"/>
  <c r="AH107" i="31"/>
  <c r="AH6" i="31"/>
  <c r="BO15" i="22"/>
  <c r="AY15" i="22"/>
  <c r="BA15" i="22"/>
  <c r="BI15" i="22"/>
  <c r="BK15" i="22"/>
  <c r="BG15" i="22"/>
  <c r="D35" i="22"/>
  <c r="AI35" i="22"/>
  <c r="AI41" i="22"/>
  <c r="J196" i="23"/>
  <c r="AN196" i="23"/>
  <c r="X21" i="22"/>
  <c r="AI19" i="22" l="1"/>
  <c r="L19" i="22" s="1"/>
  <c r="D40" i="22"/>
  <c r="AH35" i="30"/>
  <c r="AA50" i="30"/>
  <c r="AA12" i="30"/>
  <c r="AH24" i="30"/>
  <c r="AH8" i="30"/>
  <c r="AH48" i="30"/>
  <c r="AA45" i="30"/>
  <c r="AA11" i="30"/>
  <c r="AA13" i="30"/>
  <c r="AA23" i="30"/>
  <c r="AA7" i="30"/>
  <c r="AH43" i="30"/>
  <c r="AH11" i="30"/>
  <c r="AH19" i="30"/>
  <c r="AA26" i="30"/>
  <c r="AA6" i="30"/>
  <c r="AA34" i="30"/>
  <c r="AA46" i="30"/>
  <c r="AA51" i="30"/>
  <c r="AH30" i="30"/>
  <c r="AH13" i="30"/>
  <c r="AH34" i="30"/>
  <c r="AA24" i="30"/>
  <c r="AA21" i="30"/>
  <c r="AA40" i="30"/>
  <c r="AH45" i="30"/>
  <c r="AH47" i="30"/>
  <c r="AH26" i="30"/>
  <c r="AH9" i="30"/>
  <c r="AH7" i="30"/>
  <c r="AH31" i="30"/>
  <c r="AA42" i="30"/>
  <c r="AA43" i="30"/>
  <c r="AA15" i="30"/>
  <c r="AA17" i="30"/>
  <c r="AA22" i="30"/>
  <c r="AA10" i="30"/>
  <c r="AA36" i="30"/>
  <c r="AA8" i="30"/>
  <c r="AA16" i="30"/>
  <c r="AA52" i="30"/>
  <c r="AH53" i="30"/>
  <c r="AH36" i="30"/>
  <c r="AH44" i="30"/>
  <c r="AH20" i="30"/>
  <c r="AH5" i="30"/>
  <c r="AH49" i="30"/>
  <c r="AH28" i="30"/>
  <c r="AA28" i="30"/>
  <c r="AA49" i="30"/>
  <c r="AA44" i="30"/>
  <c r="AA20" i="30"/>
  <c r="AA39" i="30"/>
  <c r="AA48" i="30"/>
  <c r="AA41" i="30"/>
  <c r="AA9" i="30"/>
  <c r="AH33" i="30"/>
  <c r="AH39" i="30"/>
  <c r="AH32" i="30"/>
  <c r="AH15" i="30"/>
  <c r="AH21" i="30"/>
  <c r="AH37" i="30"/>
  <c r="AH16" i="30"/>
  <c r="AA29" i="30"/>
  <c r="AA37" i="30"/>
  <c r="AA31" i="30"/>
  <c r="AA38" i="30"/>
  <c r="AA53" i="30"/>
  <c r="AH50" i="30"/>
  <c r="AH29" i="30"/>
  <c r="AH12" i="30"/>
  <c r="AH14" i="30"/>
  <c r="AA33" i="30"/>
  <c r="AA14" i="30"/>
  <c r="AA25" i="30"/>
  <c r="AH52" i="30"/>
  <c r="AH51" i="30"/>
  <c r="AH38" i="30"/>
  <c r="AH17" i="30"/>
  <c r="AH27" i="30"/>
  <c r="AH46" i="30"/>
  <c r="AH25" i="30"/>
  <c r="AA19" i="30"/>
  <c r="AA27" i="30"/>
  <c r="AA18" i="30"/>
  <c r="AA47" i="30"/>
  <c r="AA35" i="30"/>
  <c r="AA30" i="30"/>
  <c r="AA32" i="30"/>
  <c r="AD8" i="30"/>
  <c r="AD7" i="30"/>
  <c r="AD53" i="30"/>
  <c r="AD11" i="30"/>
  <c r="AD10" i="30"/>
  <c r="AD52" i="30"/>
  <c r="AD5" i="30"/>
  <c r="AD6" i="30"/>
  <c r="AD13" i="30"/>
  <c r="AD26" i="30"/>
  <c r="AD9" i="30"/>
  <c r="AD12" i="30"/>
  <c r="AD38" i="30"/>
  <c r="AD27" i="30"/>
  <c r="AD17" i="30"/>
  <c r="AD21" i="30"/>
  <c r="AD30" i="30"/>
  <c r="AD42" i="30"/>
  <c r="AD34" i="30"/>
  <c r="AD24" i="30"/>
  <c r="AD40" i="30"/>
  <c r="AD16" i="30"/>
  <c r="AD14" i="30"/>
  <c r="AD29" i="30"/>
  <c r="AD48" i="30"/>
  <c r="AD51" i="30"/>
  <c r="AD44" i="30"/>
  <c r="AD28" i="30"/>
  <c r="AD43" i="30"/>
  <c r="AD46" i="30"/>
  <c r="AD22" i="30"/>
  <c r="AD18" i="30"/>
  <c r="AD33" i="30"/>
  <c r="AD37" i="30"/>
  <c r="AD35" i="30"/>
  <c r="AD41" i="30"/>
  <c r="AD47" i="30"/>
  <c r="AD20" i="30"/>
  <c r="AD50" i="30"/>
  <c r="AD31" i="30"/>
  <c r="AD23" i="30"/>
  <c r="AD32" i="30"/>
  <c r="AD49" i="30"/>
  <c r="AD15" i="30"/>
  <c r="AD39" i="30"/>
  <c r="AD36" i="30"/>
  <c r="AD25" i="30"/>
  <c r="AD45" i="30"/>
  <c r="AD19" i="30"/>
  <c r="AC7" i="30"/>
  <c r="AC53" i="30"/>
  <c r="AC52" i="30"/>
  <c r="AC5" i="30"/>
  <c r="AC8" i="30"/>
  <c r="AC6" i="30"/>
  <c r="AC50" i="30"/>
  <c r="AC35" i="30"/>
  <c r="AC23" i="30"/>
  <c r="AC40" i="30"/>
  <c r="AC15" i="30"/>
  <c r="AC21" i="30"/>
  <c r="AC49" i="30"/>
  <c r="AC14" i="30"/>
  <c r="AC30" i="30"/>
  <c r="AC34" i="30"/>
  <c r="AC10" i="30"/>
  <c r="AC51" i="30"/>
  <c r="AC43" i="30"/>
  <c r="AC36" i="30"/>
  <c r="AC41" i="30"/>
  <c r="AC28" i="30"/>
  <c r="AC45" i="30"/>
  <c r="AC37" i="30"/>
  <c r="AC46" i="30"/>
  <c r="AC20" i="30"/>
  <c r="AC32" i="30"/>
  <c r="AC29" i="30"/>
  <c r="AC13" i="30"/>
  <c r="AC39" i="30"/>
  <c r="AC31" i="30"/>
  <c r="AC22" i="30"/>
  <c r="AC24" i="30"/>
  <c r="AC25" i="30"/>
  <c r="AC18" i="30"/>
  <c r="AC48" i="30"/>
  <c r="AC42" i="30"/>
  <c r="AC19" i="30"/>
  <c r="AC47" i="30"/>
  <c r="AC12" i="30"/>
  <c r="AC44" i="30"/>
  <c r="AC26" i="30"/>
  <c r="AC33" i="30"/>
  <c r="AC16" i="30"/>
  <c r="AC27" i="30"/>
  <c r="AC38" i="30"/>
  <c r="AC17" i="30"/>
  <c r="AC9" i="30"/>
  <c r="AC11" i="30"/>
  <c r="AI21" i="30"/>
  <c r="AI45" i="30"/>
  <c r="AI20" i="30"/>
  <c r="AI25" i="30"/>
  <c r="AI37" i="30"/>
  <c r="AI41" i="30"/>
  <c r="AI12" i="30"/>
  <c r="AI31" i="30"/>
  <c r="AI15" i="30"/>
  <c r="AI13" i="30"/>
  <c r="AI29" i="30"/>
  <c r="AI42" i="30"/>
  <c r="AI49" i="30"/>
  <c r="AI17" i="30"/>
  <c r="AI43" i="30"/>
  <c r="AI52" i="30"/>
  <c r="AI50" i="30"/>
  <c r="AI35" i="30"/>
  <c r="AI9" i="30"/>
  <c r="AI47" i="30"/>
  <c r="AI16" i="30"/>
  <c r="AI14" i="30"/>
  <c r="AI32" i="30"/>
  <c r="AI33" i="30"/>
  <c r="AI53" i="30"/>
  <c r="AI51" i="30"/>
  <c r="AI48" i="30"/>
  <c r="AI27" i="30"/>
  <c r="AI39" i="30"/>
  <c r="AI28" i="30"/>
  <c r="AI34" i="30"/>
  <c r="AI30" i="30"/>
  <c r="AI24" i="30"/>
  <c r="AI23" i="30"/>
  <c r="AI11" i="30"/>
  <c r="AI5" i="30"/>
  <c r="AI22" i="30"/>
  <c r="AI8" i="30"/>
  <c r="AI44" i="30"/>
  <c r="AI46" i="30"/>
  <c r="AI7" i="30"/>
  <c r="AI38" i="30"/>
  <c r="AI18" i="30"/>
  <c r="AI19" i="30"/>
  <c r="AI26" i="30"/>
  <c r="AI10" i="30"/>
  <c r="AI36" i="30"/>
  <c r="AI40" i="30"/>
  <c r="AI6" i="30"/>
  <c r="AG52" i="30"/>
  <c r="AG53" i="30"/>
  <c r="AG24" i="30"/>
  <c r="AG42" i="30"/>
  <c r="AG10" i="30"/>
  <c r="AG23" i="30"/>
  <c r="AG41" i="30"/>
  <c r="AG16" i="30"/>
  <c r="AG31" i="30"/>
  <c r="AG46" i="30"/>
  <c r="AG27" i="30"/>
  <c r="AG45" i="30"/>
  <c r="AG13" i="30"/>
  <c r="AG26" i="30"/>
  <c r="AG44" i="30"/>
  <c r="AG34" i="30"/>
  <c r="AG40" i="30"/>
  <c r="AG7" i="30"/>
  <c r="AG30" i="30"/>
  <c r="AG48" i="30"/>
  <c r="AG15" i="30"/>
  <c r="AG29" i="30"/>
  <c r="AG47" i="30"/>
  <c r="AG43" i="30"/>
  <c r="AG49" i="30"/>
  <c r="AG12" i="30"/>
  <c r="AG33" i="30"/>
  <c r="AG51" i="30"/>
  <c r="AG8" i="30"/>
  <c r="AG32" i="30"/>
  <c r="AG50" i="30"/>
  <c r="AG28" i="30"/>
  <c r="AG22" i="30"/>
  <c r="AG18" i="30"/>
  <c r="AG17" i="30"/>
  <c r="AG14" i="30"/>
  <c r="AG9" i="30"/>
  <c r="AG11" i="30"/>
  <c r="AG21" i="30"/>
  <c r="AG20" i="30"/>
  <c r="AG25" i="30"/>
  <c r="AG36" i="30"/>
  <c r="AG35" i="30"/>
  <c r="AG19" i="30"/>
  <c r="AG39" i="30"/>
  <c r="AG38" i="30"/>
  <c r="AG37" i="30"/>
  <c r="AG5" i="30"/>
  <c r="AG6" i="30"/>
  <c r="Z9" i="30"/>
  <c r="Z8" i="30"/>
  <c r="Z6" i="30"/>
  <c r="Z7" i="30"/>
  <c r="Z52" i="30"/>
  <c r="Z53" i="30"/>
  <c r="Z5" i="30"/>
  <c r="Z10" i="30"/>
  <c r="Z50" i="30"/>
  <c r="Z39" i="30"/>
  <c r="Z20" i="30"/>
  <c r="Z41" i="30"/>
  <c r="Z35" i="30"/>
  <c r="Z22" i="30"/>
  <c r="Z37" i="30"/>
  <c r="Z12" i="30"/>
  <c r="Z18" i="30"/>
  <c r="Z51" i="30"/>
  <c r="Z26" i="30"/>
  <c r="Z23" i="30"/>
  <c r="Z33" i="30"/>
  <c r="Z16" i="30"/>
  <c r="Z15" i="30"/>
  <c r="Z27" i="30"/>
  <c r="Z34" i="30"/>
  <c r="Z31" i="30"/>
  <c r="Z47" i="30"/>
  <c r="Z11" i="30"/>
  <c r="Z21" i="30"/>
  <c r="Z40" i="30"/>
  <c r="Z42" i="30"/>
  <c r="Z48" i="30"/>
  <c r="Z44" i="30"/>
  <c r="Z19" i="30"/>
  <c r="Z45" i="30"/>
  <c r="Z13" i="30"/>
  <c r="Z17" i="30"/>
  <c r="Z14" i="30"/>
  <c r="Z36" i="30"/>
  <c r="Z25" i="30"/>
  <c r="Z38" i="30"/>
  <c r="Z46" i="30"/>
  <c r="Z30" i="30"/>
  <c r="Z24" i="30"/>
  <c r="Z29" i="30"/>
  <c r="Z43" i="30"/>
  <c r="Z32" i="30"/>
  <c r="Z28" i="30"/>
  <c r="Z49" i="30"/>
  <c r="AF6" i="30"/>
  <c r="AF53" i="30"/>
  <c r="AF7" i="30"/>
  <c r="AF52" i="30"/>
  <c r="AF9" i="30"/>
  <c r="AF10" i="30"/>
  <c r="AF5" i="30"/>
  <c r="AF8" i="30"/>
  <c r="AF28" i="30"/>
  <c r="AF20" i="30"/>
  <c r="AF46" i="30"/>
  <c r="AF45" i="30"/>
  <c r="AF40" i="30"/>
  <c r="AF11" i="30"/>
  <c r="AF31" i="30"/>
  <c r="AF22" i="30"/>
  <c r="AF33" i="30"/>
  <c r="AF48" i="30"/>
  <c r="AF16" i="30"/>
  <c r="AF15" i="30"/>
  <c r="AF27" i="30"/>
  <c r="AF37" i="30"/>
  <c r="AF50" i="30"/>
  <c r="AF41" i="30"/>
  <c r="AF25" i="30"/>
  <c r="AF36" i="30"/>
  <c r="AF35" i="30"/>
  <c r="AF19" i="30"/>
  <c r="AF30" i="30"/>
  <c r="AF43" i="30"/>
  <c r="AF21" i="30"/>
  <c r="AF51" i="30"/>
  <c r="AF23" i="30"/>
  <c r="AF42" i="30"/>
  <c r="AF38" i="30"/>
  <c r="AF44" i="30"/>
  <c r="AF39" i="30"/>
  <c r="AF24" i="30"/>
  <c r="AF12" i="30"/>
  <c r="AF34" i="30"/>
  <c r="AF47" i="30"/>
  <c r="AF29" i="30"/>
  <c r="AF18" i="30"/>
  <c r="AF32" i="30"/>
  <c r="AF49" i="30"/>
  <c r="AF26" i="30"/>
  <c r="AF17" i="30"/>
  <c r="AF14" i="30"/>
  <c r="AF13" i="30"/>
  <c r="AH42" i="30"/>
  <c r="AH6" i="30"/>
  <c r="AH41" i="30"/>
  <c r="AH23" i="30"/>
  <c r="AH10" i="30"/>
  <c r="AH18" i="30"/>
  <c r="AH40" i="30"/>
  <c r="AB8" i="30"/>
  <c r="AB53" i="30"/>
  <c r="AB52" i="30"/>
  <c r="AB6" i="30"/>
  <c r="AB5" i="30"/>
  <c r="AB7" i="30"/>
  <c r="AB17" i="30"/>
  <c r="AB39" i="30"/>
  <c r="AB10" i="30"/>
  <c r="AB21" i="30"/>
  <c r="AB25" i="30"/>
  <c r="AB27" i="30"/>
  <c r="AB49" i="30"/>
  <c r="AB19" i="30"/>
  <c r="AB51" i="30"/>
  <c r="AB38" i="30"/>
  <c r="AB30" i="30"/>
  <c r="AB46" i="30"/>
  <c r="AB18" i="30"/>
  <c r="AB23" i="30"/>
  <c r="AB28" i="30"/>
  <c r="AB45" i="30"/>
  <c r="AB40" i="30"/>
  <c r="AB12" i="30"/>
  <c r="AB9" i="30"/>
  <c r="AB50" i="30"/>
  <c r="AB15" i="30"/>
  <c r="AB32" i="30"/>
  <c r="AB36" i="30"/>
  <c r="AB26" i="30"/>
  <c r="AB22" i="30"/>
  <c r="AB42" i="30"/>
  <c r="AB33" i="30"/>
  <c r="AB43" i="30"/>
  <c r="AB29" i="30"/>
  <c r="AB14" i="30"/>
  <c r="AB20" i="30"/>
  <c r="AB11" i="30"/>
  <c r="AB44" i="30"/>
  <c r="AB37" i="30"/>
  <c r="AB47" i="30"/>
  <c r="AB34" i="30"/>
  <c r="AB31" i="30"/>
  <c r="AB35" i="30"/>
  <c r="AB41" i="30"/>
  <c r="AB16" i="30"/>
  <c r="AB24" i="30"/>
  <c r="AB13" i="30"/>
  <c r="AB48" i="30"/>
  <c r="AE52" i="30"/>
  <c r="AE53" i="30"/>
  <c r="AE5" i="30"/>
  <c r="AE7" i="30"/>
  <c r="AE6" i="30"/>
  <c r="AE34" i="30"/>
  <c r="AE26" i="30"/>
  <c r="AE21" i="30"/>
  <c r="AE43" i="30"/>
  <c r="AE35" i="30"/>
  <c r="AE14" i="30"/>
  <c r="AE27" i="30"/>
  <c r="AE37" i="30"/>
  <c r="AE29" i="30"/>
  <c r="AE24" i="30"/>
  <c r="AE28" i="30"/>
  <c r="AE20" i="30"/>
  <c r="AE39" i="30"/>
  <c r="AE22" i="30"/>
  <c r="AE50" i="30"/>
  <c r="AE33" i="30"/>
  <c r="AE13" i="30"/>
  <c r="AE31" i="30"/>
  <c r="AE23" i="30"/>
  <c r="AE45" i="30"/>
  <c r="AE42" i="30"/>
  <c r="AE25" i="30"/>
  <c r="AE17" i="30"/>
  <c r="AE8" i="30"/>
  <c r="AE12" i="30"/>
  <c r="AE16" i="30"/>
  <c r="AE44" i="30"/>
  <c r="AE9" i="30"/>
  <c r="AE46" i="30"/>
  <c r="AE19" i="30"/>
  <c r="AE51" i="30"/>
  <c r="AE49" i="30"/>
  <c r="AE40" i="30"/>
  <c r="AE30" i="30"/>
  <c r="AE48" i="30"/>
  <c r="AE32" i="30"/>
  <c r="AE15" i="30"/>
  <c r="AE47" i="30"/>
  <c r="AE10" i="30"/>
  <c r="AE38" i="30"/>
  <c r="AE36" i="30"/>
  <c r="AE11" i="30"/>
  <c r="AE41" i="30"/>
  <c r="AE18" i="30"/>
  <c r="Z33" i="38"/>
  <c r="AI40" i="22"/>
  <c r="L40" i="22" s="1"/>
  <c r="L28" i="22"/>
  <c r="M103" i="22"/>
  <c r="P73" i="38"/>
  <c r="D76" i="38" s="1"/>
  <c r="S33" i="38"/>
  <c r="D32" i="38"/>
  <c r="O32" i="38"/>
  <c r="W33" i="38"/>
  <c r="K34" i="38"/>
  <c r="Y33" i="38"/>
  <c r="U33" i="38"/>
  <c r="V33" i="38"/>
  <c r="T33" i="38"/>
  <c r="X33" i="38"/>
  <c r="BQ15" i="35"/>
  <c r="AI14" i="35"/>
  <c r="AH15" i="35"/>
  <c r="AH20" i="35"/>
  <c r="BQ20" i="35"/>
  <c r="AJ21" i="35" s="1"/>
  <c r="K149" i="23" s="1"/>
  <c r="AH55" i="35"/>
  <c r="AI54" i="35"/>
  <c r="BQ55" i="35"/>
  <c r="AI64" i="35"/>
  <c r="AH65" i="35"/>
  <c r="BQ65" i="35"/>
  <c r="AH30" i="35"/>
  <c r="AI29" i="35"/>
  <c r="BQ30" i="35"/>
  <c r="AH10" i="35"/>
  <c r="BQ10" i="35"/>
  <c r="AJ11" i="35" s="1"/>
  <c r="G149" i="23" s="1"/>
  <c r="AI49" i="35"/>
  <c r="AH50" i="35"/>
  <c r="BQ50" i="35"/>
  <c r="AI25" i="35"/>
  <c r="BR25" i="35"/>
  <c r="AJ26" i="35" s="1"/>
  <c r="AI40" i="35"/>
  <c r="BR40" i="35"/>
  <c r="AJ41" i="35" s="1"/>
  <c r="S149" i="23" s="1"/>
  <c r="AI285" i="23"/>
  <c r="J280" i="23" s="1"/>
  <c r="AA307" i="23" s="1"/>
  <c r="AI307" i="23" s="1"/>
  <c r="L20" i="22"/>
  <c r="AJ20" i="22"/>
  <c r="M20" i="22"/>
  <c r="G80" i="22" s="1"/>
  <c r="J21" i="22"/>
  <c r="AI5" i="31"/>
  <c r="AI107" i="31"/>
  <c r="AI6" i="31"/>
  <c r="AJ4" i="31"/>
  <c r="AK11" i="31" s="1"/>
  <c r="L41" i="22"/>
  <c r="M41" i="22"/>
  <c r="L196" i="23"/>
  <c r="AP196" i="23"/>
  <c r="L35" i="22"/>
  <c r="M35" i="22"/>
  <c r="M19" i="22" l="1"/>
  <c r="AK27" i="31"/>
  <c r="AK91" i="31"/>
  <c r="AK86" i="31"/>
  <c r="AK60" i="31"/>
  <c r="AK41" i="31"/>
  <c r="AK105" i="31"/>
  <c r="AK15" i="31"/>
  <c r="AK79" i="31"/>
  <c r="AK62" i="31"/>
  <c r="AK48" i="31"/>
  <c r="AK29" i="31"/>
  <c r="AK93" i="31"/>
  <c r="AK90" i="31"/>
  <c r="AK67" i="31"/>
  <c r="AK38" i="31"/>
  <c r="AK36" i="31"/>
  <c r="AK17" i="31"/>
  <c r="AK81" i="31"/>
  <c r="AK66" i="31"/>
  <c r="AK55" i="31"/>
  <c r="AK100" i="31"/>
  <c r="AK24" i="31"/>
  <c r="AK96" i="31"/>
  <c r="AK69" i="31"/>
  <c r="AK42" i="31"/>
  <c r="AK43" i="31"/>
  <c r="AK7" i="31"/>
  <c r="AK12" i="31"/>
  <c r="AK76" i="31"/>
  <c r="AK57" i="31"/>
  <c r="AK22" i="31"/>
  <c r="AK31" i="31"/>
  <c r="AK95" i="31"/>
  <c r="AK94" i="31"/>
  <c r="AK64" i="31"/>
  <c r="AK45" i="31"/>
  <c r="AK10" i="31"/>
  <c r="AK19" i="31"/>
  <c r="AK83" i="31"/>
  <c r="AK70" i="31"/>
  <c r="AK52" i="31"/>
  <c r="AK33" i="31"/>
  <c r="AK97" i="31"/>
  <c r="AK98" i="31"/>
  <c r="AK71" i="31"/>
  <c r="AK46" i="31"/>
  <c r="AK40" i="31"/>
  <c r="AK21" i="31"/>
  <c r="AK85" i="31"/>
  <c r="AK74" i="31"/>
  <c r="AK59" i="31"/>
  <c r="AK104" i="31"/>
  <c r="AK28" i="31"/>
  <c r="AK9" i="31"/>
  <c r="AK73" i="31"/>
  <c r="AK50" i="31"/>
  <c r="AK47" i="31"/>
  <c r="AK88" i="31"/>
  <c r="AK16" i="31"/>
  <c r="AK80" i="31"/>
  <c r="AK61" i="31"/>
  <c r="AK26" i="31"/>
  <c r="AK35" i="31"/>
  <c r="AK99" i="31"/>
  <c r="AK102" i="31"/>
  <c r="AK68" i="31"/>
  <c r="AK49" i="31"/>
  <c r="AK14" i="31"/>
  <c r="AK23" i="31"/>
  <c r="AK87" i="31"/>
  <c r="AK78" i="31"/>
  <c r="AK56" i="31"/>
  <c r="AK37" i="31"/>
  <c r="AK101" i="31"/>
  <c r="AK106" i="31"/>
  <c r="AK75" i="31"/>
  <c r="AK54" i="31"/>
  <c r="AK44" i="31"/>
  <c r="AK25" i="31"/>
  <c r="AK89" i="31"/>
  <c r="AK82" i="31"/>
  <c r="AK63" i="31"/>
  <c r="AK30" i="31"/>
  <c r="AK32" i="31"/>
  <c r="AK13" i="31"/>
  <c r="AK77" i="31"/>
  <c r="AK58" i="31"/>
  <c r="AK51" i="31"/>
  <c r="AK92" i="31"/>
  <c r="AK20" i="31"/>
  <c r="AK84" i="31"/>
  <c r="AK65" i="31"/>
  <c r="AK34" i="31"/>
  <c r="AK39" i="31"/>
  <c r="AK103" i="31"/>
  <c r="AK8" i="31"/>
  <c r="AK72" i="31"/>
  <c r="AK53" i="31"/>
  <c r="AK18" i="31"/>
  <c r="M40" i="22"/>
  <c r="AI21" i="22"/>
  <c r="L21" i="22" s="1"/>
  <c r="O34" i="38"/>
  <c r="AC33" i="38"/>
  <c r="W77" i="38"/>
  <c r="AA77" i="38"/>
  <c r="R77" i="38"/>
  <c r="AB77" i="38"/>
  <c r="AC77" i="38"/>
  <c r="T77" i="38"/>
  <c r="X77" i="38"/>
  <c r="V77" i="38"/>
  <c r="Y77" i="38"/>
  <c r="Z77" i="38"/>
  <c r="U77" i="38"/>
  <c r="S77" i="38"/>
  <c r="R33" i="38"/>
  <c r="P32" i="38"/>
  <c r="D35" i="38" s="1"/>
  <c r="AA33" i="38"/>
  <c r="AB33" i="38"/>
  <c r="AG20" i="22"/>
  <c r="AI55" i="35"/>
  <c r="BR55" i="35"/>
  <c r="AJ56" i="35" s="1"/>
  <c r="Y149" i="23" s="1"/>
  <c r="BR50" i="35"/>
  <c r="AJ51" i="35" s="1"/>
  <c r="W149" i="23" s="1"/>
  <c r="AI50" i="35"/>
  <c r="AI30" i="35"/>
  <c r="BR30" i="35"/>
  <c r="AJ31" i="35" s="1"/>
  <c r="O149" i="23" s="1"/>
  <c r="BR65" i="35"/>
  <c r="AJ66" i="35" s="1"/>
  <c r="AC149" i="23" s="1"/>
  <c r="AI65" i="35"/>
  <c r="AI15" i="35"/>
  <c r="BR15" i="35"/>
  <c r="AJ16" i="35" s="1"/>
  <c r="I149" i="23" s="1"/>
  <c r="M149" i="23"/>
  <c r="AJ37" i="23"/>
  <c r="B37" i="23" s="1"/>
  <c r="G21" i="40" s="1"/>
  <c r="H21" i="40" s="1"/>
  <c r="I21" i="40" s="1"/>
  <c r="AJ107" i="31"/>
  <c r="AJ6" i="31"/>
  <c r="AJ5" i="31"/>
  <c r="G55" i="16"/>
  <c r="G46" i="16"/>
  <c r="G44" i="16"/>
  <c r="G53" i="16"/>
  <c r="G58" i="16"/>
  <c r="G60" i="16"/>
  <c r="G50" i="16"/>
  <c r="G59" i="16"/>
  <c r="G48" i="16"/>
  <c r="AR196" i="23"/>
  <c r="N196" i="23"/>
  <c r="AJ21" i="22" l="1"/>
  <c r="P75" i="38"/>
  <c r="B71" i="38" s="1"/>
  <c r="R35" i="38"/>
  <c r="F35" i="38"/>
  <c r="AB35" i="38"/>
  <c r="V35" i="38"/>
  <c r="U35" i="38"/>
  <c r="Z35" i="38"/>
  <c r="X35" i="38"/>
  <c r="AA35" i="38"/>
  <c r="AC35" i="38"/>
  <c r="T35" i="38"/>
  <c r="S35" i="38"/>
  <c r="Y35" i="38"/>
  <c r="W35" i="38"/>
  <c r="L35" i="38"/>
  <c r="N35" i="38" s="1"/>
  <c r="F8" i="35"/>
  <c r="AA146" i="23" s="1"/>
  <c r="AA153" i="23" s="1"/>
  <c r="AA145" i="23" s="1"/>
  <c r="AI145" i="23" s="1"/>
  <c r="R50" i="16"/>
  <c r="O50" i="16"/>
  <c r="J50" i="16" s="1"/>
  <c r="R55" i="16"/>
  <c r="O55" i="16"/>
  <c r="J55" i="16" s="1"/>
  <c r="O60" i="16"/>
  <c r="J60" i="16" s="1"/>
  <c r="R60" i="16"/>
  <c r="R58" i="16"/>
  <c r="O58" i="16"/>
  <c r="J58" i="16" s="1"/>
  <c r="O46" i="16"/>
  <c r="J46" i="16" s="1"/>
  <c r="R46" i="16"/>
  <c r="G40" i="16"/>
  <c r="AK107" i="31"/>
  <c r="O48" i="16"/>
  <c r="J48" i="16" s="1"/>
  <c r="R48" i="16"/>
  <c r="O53" i="16"/>
  <c r="J53" i="16" s="1"/>
  <c r="R53" i="16"/>
  <c r="R59" i="16"/>
  <c r="O59" i="16"/>
  <c r="J59" i="16" s="1"/>
  <c r="O44" i="16"/>
  <c r="J44" i="16" s="1"/>
  <c r="R44" i="16"/>
  <c r="AT196" i="23"/>
  <c r="P196" i="23"/>
  <c r="B78" i="38" l="1"/>
  <c r="P34" i="38"/>
  <c r="AW12" i="22"/>
  <c r="AU12" i="22" s="1"/>
  <c r="AW27" i="22"/>
  <c r="AU27" i="22" s="1"/>
  <c r="AW18" i="22"/>
  <c r="AU18" i="22" s="1"/>
  <c r="AW16" i="22"/>
  <c r="AU16" i="22" s="1"/>
  <c r="AW14" i="22"/>
  <c r="AU14" i="22" s="1"/>
  <c r="AW28" i="22"/>
  <c r="AU28" i="22" s="1"/>
  <c r="D39" i="38"/>
  <c r="S206" i="23" s="1"/>
  <c r="AW23" i="22"/>
  <c r="AU23" i="22" s="1"/>
  <c r="AW26" i="22"/>
  <c r="AU26" i="22" s="1"/>
  <c r="AW21" i="22"/>
  <c r="AU21" i="22" s="1"/>
  <c r="G38" i="16"/>
  <c r="R40" i="16"/>
  <c r="AX8" i="22"/>
  <c r="O40" i="16"/>
  <c r="J40" i="16" s="1"/>
  <c r="W58" i="16"/>
  <c r="W60" i="16"/>
  <c r="W44" i="16"/>
  <c r="W48" i="16"/>
  <c r="W50" i="16"/>
  <c r="W59" i="16"/>
  <c r="W53" i="16"/>
  <c r="W46" i="16"/>
  <c r="W55" i="16"/>
  <c r="R196" i="23"/>
  <c r="AV196" i="23"/>
  <c r="S40" i="16" l="1"/>
  <c r="BO23" i="22"/>
  <c r="BA23" i="22"/>
  <c r="BM23" i="22"/>
  <c r="BG23" i="22"/>
  <c r="AY23" i="22"/>
  <c r="BE23" i="22"/>
  <c r="BC23" i="22"/>
  <c r="BI23" i="22"/>
  <c r="BO18" i="22"/>
  <c r="BA18" i="22"/>
  <c r="AY18" i="22"/>
  <c r="BK18" i="22"/>
  <c r="BI18" i="22"/>
  <c r="BE18" i="22"/>
  <c r="BC18" i="22"/>
  <c r="BG18" i="22"/>
  <c r="AY12" i="22"/>
  <c r="BC12" i="22"/>
  <c r="BO12" i="22"/>
  <c r="BI12" i="22"/>
  <c r="BG12" i="22"/>
  <c r="BK12" i="22"/>
  <c r="BE12" i="22"/>
  <c r="BK26" i="22"/>
  <c r="BE26" i="22"/>
  <c r="AY26" i="22"/>
  <c r="BI26" i="22"/>
  <c r="BO26" i="22"/>
  <c r="BG26" i="22"/>
  <c r="BA26" i="22"/>
  <c r="BC26" i="22"/>
  <c r="BO16" i="22"/>
  <c r="AY16" i="22"/>
  <c r="BI16" i="22"/>
  <c r="BM16" i="22"/>
  <c r="BK16" i="22"/>
  <c r="BA16" i="22"/>
  <c r="BE16" i="22"/>
  <c r="BG16" i="22"/>
  <c r="BI28" i="22"/>
  <c r="BC28" i="22"/>
  <c r="BA28" i="22"/>
  <c r="BG28" i="22"/>
  <c r="BO28" i="22"/>
  <c r="BM28" i="22"/>
  <c r="BK28" i="22"/>
  <c r="BE28" i="22"/>
  <c r="AY28" i="22"/>
  <c r="W40" i="16"/>
  <c r="R140" i="16"/>
  <c r="H11" i="16" s="1"/>
  <c r="I11" i="16" s="1"/>
  <c r="R147" i="16"/>
  <c r="H18" i="16" s="1"/>
  <c r="I18" i="16" s="1"/>
  <c r="R146" i="16"/>
  <c r="H17" i="16" s="1"/>
  <c r="I17" i="16" s="1"/>
  <c r="R144" i="16"/>
  <c r="H15" i="16" s="1"/>
  <c r="I15" i="16" s="1"/>
  <c r="Q145" i="16"/>
  <c r="G16" i="16" s="1"/>
  <c r="R145" i="16"/>
  <c r="H16" i="16" s="1"/>
  <c r="I16" i="16" s="1"/>
  <c r="AW8" i="22"/>
  <c r="R142" i="16"/>
  <c r="H13" i="16" s="1"/>
  <c r="I13" i="16" s="1"/>
  <c r="Q146" i="16"/>
  <c r="G17" i="16" s="1"/>
  <c r="Q142" i="16"/>
  <c r="G13" i="16" s="1"/>
  <c r="R143" i="16"/>
  <c r="H14" i="16" s="1"/>
  <c r="I14" i="16" s="1"/>
  <c r="Q147" i="16"/>
  <c r="G18" i="16" s="1"/>
  <c r="Q143" i="16"/>
  <c r="G14" i="16" s="1"/>
  <c r="Q141" i="16"/>
  <c r="G12" i="16" s="1"/>
  <c r="R141" i="16"/>
  <c r="H12" i="16" s="1"/>
  <c r="I12" i="16" s="1"/>
  <c r="Q140" i="16"/>
  <c r="G11" i="16" s="1"/>
  <c r="Q144" i="16"/>
  <c r="G15" i="16" s="1"/>
  <c r="BO14" i="22"/>
  <c r="BA14" i="22"/>
  <c r="AY14" i="22"/>
  <c r="BG14" i="22"/>
  <c r="BI14" i="22"/>
  <c r="BC14" i="22"/>
  <c r="BM14" i="22"/>
  <c r="BK14" i="22"/>
  <c r="BE14" i="22"/>
  <c r="AY27" i="22"/>
  <c r="BE27" i="22"/>
  <c r="BI27" i="22"/>
  <c r="BM27" i="22"/>
  <c r="BK27" i="22"/>
  <c r="BO27" i="22"/>
  <c r="BC27" i="22"/>
  <c r="BA27" i="22"/>
  <c r="BG27" i="22"/>
  <c r="BA21" i="22"/>
  <c r="AY21" i="22"/>
  <c r="BE21" i="22"/>
  <c r="BG21" i="22"/>
  <c r="BC21" i="22"/>
  <c r="BI21" i="22"/>
  <c r="BM21" i="22"/>
  <c r="BO21" i="22"/>
  <c r="BK21" i="22"/>
  <c r="T196" i="23"/>
  <c r="AX196" i="23"/>
  <c r="S140" i="16" l="1"/>
  <c r="C11" i="16" s="1"/>
  <c r="S143" i="16"/>
  <c r="C14" i="16" s="1"/>
  <c r="S147" i="16"/>
  <c r="C18" i="16" s="1"/>
  <c r="S145" i="16"/>
  <c r="C16" i="16" s="1"/>
  <c r="S146" i="16"/>
  <c r="C17" i="16" s="1"/>
  <c r="S142" i="16"/>
  <c r="C13" i="16" s="1"/>
  <c r="S144" i="16"/>
  <c r="C15" i="16" s="1"/>
  <c r="S141" i="16"/>
  <c r="C12" i="16" s="1"/>
  <c r="J18" i="16"/>
  <c r="J17" i="16"/>
  <c r="J14" i="16"/>
  <c r="J11" i="16"/>
  <c r="J12" i="16"/>
  <c r="AU8" i="22"/>
  <c r="AE26" i="22" s="1"/>
  <c r="BG8" i="22"/>
  <c r="BA8" i="22"/>
  <c r="BK8" i="22"/>
  <c r="BI8" i="22"/>
  <c r="BE8" i="22"/>
  <c r="BM8" i="22"/>
  <c r="AY8" i="22"/>
  <c r="BO8" i="22"/>
  <c r="BC8" i="22"/>
  <c r="BM20" i="22"/>
  <c r="BI20" i="22"/>
  <c r="BM17" i="22"/>
  <c r="BE17" i="22"/>
  <c r="BM24" i="22"/>
  <c r="BK22" i="22"/>
  <c r="BO9" i="22"/>
  <c r="BA9" i="22"/>
  <c r="BM10" i="22"/>
  <c r="BM22" i="22"/>
  <c r="BM11" i="22"/>
  <c r="BA11" i="22"/>
  <c r="BM13" i="22"/>
  <c r="BM15" i="22"/>
  <c r="BI19" i="22"/>
  <c r="BC15" i="22"/>
  <c r="BA10" i="22"/>
  <c r="BM25" i="22"/>
  <c r="BM19" i="22"/>
  <c r="BM9" i="22"/>
  <c r="BE15" i="22"/>
  <c r="BC16" i="22"/>
  <c r="BM12" i="22"/>
  <c r="BK23" i="22"/>
  <c r="J13" i="16"/>
  <c r="BM26" i="22"/>
  <c r="BA12" i="22"/>
  <c r="J15" i="16"/>
  <c r="J16" i="16"/>
  <c r="BM18" i="22"/>
  <c r="W147" i="16"/>
  <c r="F18" i="16" s="1"/>
  <c r="W145" i="16"/>
  <c r="F16" i="16" s="1"/>
  <c r="W144" i="16"/>
  <c r="F15" i="16" s="1"/>
  <c r="W143" i="16"/>
  <c r="F14" i="16" s="1"/>
  <c r="W142" i="16"/>
  <c r="F13" i="16" s="1"/>
  <c r="W140" i="16"/>
  <c r="F11" i="16" s="1"/>
  <c r="W146" i="16"/>
  <c r="F17" i="16" s="1"/>
  <c r="W141" i="16"/>
  <c r="F12" i="16" s="1"/>
  <c r="AZ196" i="23"/>
  <c r="V196" i="23"/>
  <c r="B78" i="22" l="1"/>
  <c r="BH106" i="22"/>
  <c r="BH105" i="22"/>
  <c r="BH107" i="22"/>
  <c r="BN105" i="22"/>
  <c r="BN106" i="22"/>
  <c r="BN107" i="22"/>
  <c r="BJ107" i="22"/>
  <c r="BJ106" i="22"/>
  <c r="BJ105" i="22"/>
  <c r="BL106" i="22"/>
  <c r="BL107" i="22"/>
  <c r="BL105" i="22"/>
  <c r="BD106" i="22"/>
  <c r="BD105" i="22"/>
  <c r="BD107" i="22"/>
  <c r="BP105" i="22"/>
  <c r="BP106" i="22"/>
  <c r="BP107" i="22"/>
  <c r="BB106" i="22"/>
  <c r="BB105" i="22"/>
  <c r="BB107" i="22"/>
  <c r="AZ107" i="22"/>
  <c r="AZ106" i="22"/>
  <c r="AZ105" i="22"/>
  <c r="BF106" i="22"/>
  <c r="BF105" i="22"/>
  <c r="BF107" i="22"/>
  <c r="B81" i="22"/>
  <c r="B82" i="22"/>
  <c r="AC37" i="22"/>
  <c r="AF20" i="22"/>
  <c r="AE16" i="22"/>
  <c r="U16" i="22"/>
  <c r="AC18" i="22"/>
  <c r="B76" i="22"/>
  <c r="B80" i="22"/>
  <c r="B77" i="22"/>
  <c r="B75" i="22"/>
  <c r="B79" i="22"/>
  <c r="AZ86" i="22"/>
  <c r="AZ28" i="22"/>
  <c r="AZ100" i="22"/>
  <c r="AZ53" i="22"/>
  <c r="AZ93" i="22"/>
  <c r="AZ22" i="22"/>
  <c r="AZ99" i="22"/>
  <c r="AZ19" i="22"/>
  <c r="AZ47" i="22"/>
  <c r="AZ96" i="22"/>
  <c r="AZ81" i="22"/>
  <c r="AZ38" i="22"/>
  <c r="AZ23" i="22"/>
  <c r="AZ80" i="22"/>
  <c r="AZ90" i="22"/>
  <c r="AZ87" i="22"/>
  <c r="AZ54" i="22"/>
  <c r="AZ59" i="22"/>
  <c r="AZ57" i="22"/>
  <c r="AZ16" i="22"/>
  <c r="AZ84" i="22"/>
  <c r="AZ78" i="22"/>
  <c r="AZ50" i="22"/>
  <c r="AZ64" i="22"/>
  <c r="AZ15" i="22"/>
  <c r="AZ61" i="22"/>
  <c r="AZ94" i="22"/>
  <c r="AZ103" i="22"/>
  <c r="AZ33" i="22"/>
  <c r="AZ24" i="22"/>
  <c r="AZ37" i="22"/>
  <c r="AZ46" i="22"/>
  <c r="AZ11" i="22"/>
  <c r="AZ60" i="22"/>
  <c r="AZ76" i="22"/>
  <c r="AZ69" i="22"/>
  <c r="AZ49" i="22"/>
  <c r="AZ85" i="22"/>
  <c r="AZ8" i="22"/>
  <c r="AZ91" i="22"/>
  <c r="AZ29" i="22"/>
  <c r="AZ21" i="22"/>
  <c r="AZ70" i="22"/>
  <c r="AZ71" i="22"/>
  <c r="AZ35" i="22"/>
  <c r="AZ40" i="22"/>
  <c r="AZ55" i="22"/>
  <c r="AZ20" i="22"/>
  <c r="AZ34" i="22"/>
  <c r="AZ104" i="22"/>
  <c r="AZ65" i="22"/>
  <c r="AZ74" i="22"/>
  <c r="AZ83" i="22"/>
  <c r="AZ45" i="22"/>
  <c r="AZ25" i="22"/>
  <c r="AZ41" i="22"/>
  <c r="AZ102" i="22"/>
  <c r="AZ43" i="22"/>
  <c r="AZ66" i="22"/>
  <c r="AZ26" i="22"/>
  <c r="AZ73" i="22"/>
  <c r="AZ97" i="22"/>
  <c r="AZ95" i="22"/>
  <c r="AZ14" i="22"/>
  <c r="AZ51" i="22"/>
  <c r="AZ12" i="22"/>
  <c r="AZ62" i="22"/>
  <c r="AZ68" i="22"/>
  <c r="AZ79" i="22"/>
  <c r="AZ32" i="22"/>
  <c r="AZ36" i="22"/>
  <c r="AZ10" i="22"/>
  <c r="AZ77" i="22"/>
  <c r="AZ98" i="22"/>
  <c r="AZ18" i="22"/>
  <c r="AZ13" i="22"/>
  <c r="AZ44" i="22"/>
  <c r="AZ9" i="22"/>
  <c r="AZ89" i="22"/>
  <c r="AZ48" i="22"/>
  <c r="AZ82" i="22"/>
  <c r="AZ27" i="22"/>
  <c r="AZ30" i="22"/>
  <c r="AZ72" i="22"/>
  <c r="AZ88" i="22"/>
  <c r="AZ52" i="22"/>
  <c r="AZ39" i="22"/>
  <c r="AZ31" i="22"/>
  <c r="AZ101" i="22"/>
  <c r="AZ17" i="22"/>
  <c r="AZ58" i="22"/>
  <c r="AZ75" i="22"/>
  <c r="AZ63" i="22"/>
  <c r="AZ92" i="22"/>
  <c r="AZ67" i="22"/>
  <c r="AZ56" i="22"/>
  <c r="AZ42" i="22"/>
  <c r="BL64" i="22"/>
  <c r="BL58" i="22"/>
  <c r="BL102" i="22"/>
  <c r="BL49" i="22"/>
  <c r="BL99" i="22"/>
  <c r="BL22" i="22"/>
  <c r="BL103" i="22"/>
  <c r="BL35" i="22"/>
  <c r="BL68" i="22"/>
  <c r="BL100" i="22"/>
  <c r="BL34" i="22"/>
  <c r="BL72" i="22"/>
  <c r="BL42" i="22"/>
  <c r="BL27" i="22"/>
  <c r="BL89" i="22"/>
  <c r="BL8" i="22"/>
  <c r="BL70" i="22"/>
  <c r="BL76" i="22"/>
  <c r="BL25" i="22"/>
  <c r="BL101" i="22"/>
  <c r="BL54" i="22"/>
  <c r="BL94" i="22"/>
  <c r="BL41" i="22"/>
  <c r="BL28" i="22"/>
  <c r="BL60" i="22"/>
  <c r="BL88" i="22"/>
  <c r="BL93" i="22"/>
  <c r="BL66" i="22"/>
  <c r="BL33" i="22"/>
  <c r="BL24" i="22"/>
  <c r="BL45" i="22"/>
  <c r="BL36" i="22"/>
  <c r="BL39" i="22"/>
  <c r="BL104" i="22"/>
  <c r="BL20" i="22"/>
  <c r="BL62" i="22"/>
  <c r="BL31" i="22"/>
  <c r="BL63" i="22"/>
  <c r="BL61" i="22"/>
  <c r="BL67" i="22"/>
  <c r="BL82" i="22"/>
  <c r="BL29" i="22"/>
  <c r="BL46" i="22"/>
  <c r="BL18" i="22"/>
  <c r="BL10" i="22"/>
  <c r="BL38" i="22"/>
  <c r="BL51" i="22"/>
  <c r="BL98" i="22"/>
  <c r="BL80" i="22"/>
  <c r="BL21" i="22"/>
  <c r="BL50" i="22"/>
  <c r="BL53" i="22"/>
  <c r="BL83" i="22"/>
  <c r="BL9" i="22"/>
  <c r="BL32" i="22"/>
  <c r="BL47" i="22"/>
  <c r="BL14" i="22"/>
  <c r="BL96" i="22"/>
  <c r="BL91" i="22"/>
  <c r="BL40" i="22"/>
  <c r="BL37" i="22"/>
  <c r="BL48" i="22"/>
  <c r="BL71" i="22"/>
  <c r="BL26" i="22"/>
  <c r="BL44" i="22"/>
  <c r="BL97" i="22"/>
  <c r="BL73" i="22"/>
  <c r="BL30" i="22"/>
  <c r="BL86" i="22"/>
  <c r="BL95" i="22"/>
  <c r="BL75" i="22"/>
  <c r="BL69" i="22"/>
  <c r="BL74" i="22"/>
  <c r="BL65" i="22"/>
  <c r="BL57" i="22"/>
  <c r="BL13" i="22"/>
  <c r="BL19" i="22"/>
  <c r="BL17" i="22"/>
  <c r="BL81" i="22"/>
  <c r="BL84" i="22"/>
  <c r="BL85" i="22"/>
  <c r="BL43" i="22"/>
  <c r="BL23" i="22"/>
  <c r="BL77" i="22"/>
  <c r="BL87" i="22"/>
  <c r="BL92" i="22"/>
  <c r="BL78" i="22"/>
  <c r="BL55" i="22"/>
  <c r="BL52" i="22"/>
  <c r="BL59" i="22"/>
  <c r="BL16" i="22"/>
  <c r="BL15" i="22"/>
  <c r="BL11" i="22"/>
  <c r="BL79" i="22"/>
  <c r="BL90" i="22"/>
  <c r="BL56" i="22"/>
  <c r="BL12" i="22"/>
  <c r="BN8" i="22"/>
  <c r="BN13" i="22"/>
  <c r="BN11" i="22"/>
  <c r="BN12" i="22"/>
  <c r="BN9" i="22"/>
  <c r="BN25" i="22"/>
  <c r="BN20" i="22"/>
  <c r="BN14" i="22"/>
  <c r="BN23" i="22"/>
  <c r="BN40" i="22"/>
  <c r="BN69" i="22"/>
  <c r="BN76" i="22"/>
  <c r="BN97" i="22"/>
  <c r="BN30" i="22"/>
  <c r="BN48" i="22"/>
  <c r="BN45" i="22"/>
  <c r="BN84" i="22"/>
  <c r="BN104" i="22"/>
  <c r="BN67" i="22"/>
  <c r="BN85" i="22"/>
  <c r="BN80" i="22"/>
  <c r="BN95" i="22"/>
  <c r="BN32" i="22"/>
  <c r="BN96" i="22"/>
  <c r="BN100" i="22"/>
  <c r="BN77" i="22"/>
  <c r="BN74" i="22"/>
  <c r="BN27" i="22"/>
  <c r="BN24" i="22"/>
  <c r="BN61" i="22"/>
  <c r="BN72" i="22"/>
  <c r="BN35" i="22"/>
  <c r="BN73" i="22"/>
  <c r="BN91" i="22"/>
  <c r="BN99" i="22"/>
  <c r="BN34" i="22"/>
  <c r="BN59" i="22"/>
  <c r="BN64" i="22"/>
  <c r="BN63" i="22"/>
  <c r="BN51" i="22"/>
  <c r="BN33" i="22"/>
  <c r="BN22" i="22"/>
  <c r="BN15" i="22"/>
  <c r="BN38" i="22"/>
  <c r="BN52" i="22"/>
  <c r="BN37" i="22"/>
  <c r="BN66" i="22"/>
  <c r="BN71" i="22"/>
  <c r="BN88" i="22"/>
  <c r="BN101" i="22"/>
  <c r="BN78" i="22"/>
  <c r="BN10" i="22"/>
  <c r="BN26" i="22"/>
  <c r="BN28" i="22"/>
  <c r="BN92" i="22"/>
  <c r="BN55" i="22"/>
  <c r="BN103" i="22"/>
  <c r="BN98" i="22"/>
  <c r="BN81" i="22"/>
  <c r="BN53" i="22"/>
  <c r="BN43" i="22"/>
  <c r="BN18" i="22"/>
  <c r="BN39" i="22"/>
  <c r="BN83" i="22"/>
  <c r="BN102" i="22"/>
  <c r="BN54" i="22"/>
  <c r="BN21" i="22"/>
  <c r="BN17" i="22"/>
  <c r="BN16" i="22"/>
  <c r="BN68" i="22"/>
  <c r="BN46" i="22"/>
  <c r="BN70" i="22"/>
  <c r="BN86" i="22"/>
  <c r="BN31" i="22"/>
  <c r="BN75" i="22"/>
  <c r="BN79" i="22"/>
  <c r="BN65" i="22"/>
  <c r="BN29" i="22"/>
  <c r="BN62" i="22"/>
  <c r="BN93" i="22"/>
  <c r="BN89" i="22"/>
  <c r="BN56" i="22"/>
  <c r="BN87" i="22"/>
  <c r="BN58" i="22"/>
  <c r="BN36" i="22"/>
  <c r="BN47" i="22"/>
  <c r="BN42" i="22"/>
  <c r="BN94" i="22"/>
  <c r="BN41" i="22"/>
  <c r="BN19" i="22"/>
  <c r="BN90" i="22"/>
  <c r="BN50" i="22"/>
  <c r="BN82" i="22"/>
  <c r="BN60" i="22"/>
  <c r="BN44" i="22"/>
  <c r="BN49" i="22"/>
  <c r="BN57" i="22"/>
  <c r="BB9" i="22"/>
  <c r="BB8" i="22"/>
  <c r="BB11" i="22"/>
  <c r="BB10" i="22"/>
  <c r="BB90" i="22"/>
  <c r="BB81" i="22"/>
  <c r="BB23" i="22"/>
  <c r="BB73" i="22"/>
  <c r="BB58" i="22"/>
  <c r="BB63" i="22"/>
  <c r="BB37" i="22"/>
  <c r="BB75" i="22"/>
  <c r="BB78" i="22"/>
  <c r="BB94" i="22"/>
  <c r="BB95" i="22"/>
  <c r="BB60" i="22"/>
  <c r="BB98" i="22"/>
  <c r="BB34" i="22"/>
  <c r="BB53" i="22"/>
  <c r="BB102" i="22"/>
  <c r="BB39" i="22"/>
  <c r="BB28" i="22"/>
  <c r="BB32" i="22"/>
  <c r="BB66" i="22"/>
  <c r="BB104" i="22"/>
  <c r="BB99" i="22"/>
  <c r="BB86" i="22"/>
  <c r="BB18" i="22"/>
  <c r="BB71" i="22"/>
  <c r="BB93" i="22"/>
  <c r="BB57" i="22"/>
  <c r="BB101" i="22"/>
  <c r="BB92" i="22"/>
  <c r="BB55" i="22"/>
  <c r="BB70" i="22"/>
  <c r="BB68" i="22"/>
  <c r="BB100" i="22"/>
  <c r="BB56" i="22"/>
  <c r="BB96" i="22"/>
  <c r="BB22" i="22"/>
  <c r="BB65" i="22"/>
  <c r="BB67" i="22"/>
  <c r="BB13" i="22"/>
  <c r="BB69" i="22"/>
  <c r="BB72" i="22"/>
  <c r="BB83" i="22"/>
  <c r="BB26" i="22"/>
  <c r="BB20" i="22"/>
  <c r="BB51" i="22"/>
  <c r="BB87" i="22"/>
  <c r="BB62" i="22"/>
  <c r="BB49" i="22"/>
  <c r="BB91" i="22"/>
  <c r="BB36" i="22"/>
  <c r="BB38" i="22"/>
  <c r="BB76" i="22"/>
  <c r="BB33" i="22"/>
  <c r="BB27" i="22"/>
  <c r="BB97" i="22"/>
  <c r="BB47" i="22"/>
  <c r="BB52" i="22"/>
  <c r="BB50" i="22"/>
  <c r="BB30" i="22"/>
  <c r="BB14" i="22"/>
  <c r="BB44" i="22"/>
  <c r="BB103" i="22"/>
  <c r="BB15" i="22"/>
  <c r="BB77" i="22"/>
  <c r="BB40" i="22"/>
  <c r="BB46" i="22"/>
  <c r="BB16" i="22"/>
  <c r="BB84" i="22"/>
  <c r="BB79" i="22"/>
  <c r="BB45" i="22"/>
  <c r="BB80" i="22"/>
  <c r="BB29" i="22"/>
  <c r="BB85" i="22"/>
  <c r="BB89" i="22"/>
  <c r="BB59" i="22"/>
  <c r="BB74" i="22"/>
  <c r="BB31" i="22"/>
  <c r="BB42" i="22"/>
  <c r="BB12" i="22"/>
  <c r="BB41" i="22"/>
  <c r="BB48" i="22"/>
  <c r="BB82" i="22"/>
  <c r="BB64" i="22"/>
  <c r="BB88" i="22"/>
  <c r="BB19" i="22"/>
  <c r="BB21" i="22"/>
  <c r="BB17" i="22"/>
  <c r="BB54" i="22"/>
  <c r="BB61" i="22"/>
  <c r="BB24" i="22"/>
  <c r="BB25" i="22"/>
  <c r="BB35" i="22"/>
  <c r="BB43" i="22"/>
  <c r="BD15" i="22"/>
  <c r="BD29" i="22"/>
  <c r="BD70" i="22"/>
  <c r="BD77" i="22"/>
  <c r="BD36" i="22"/>
  <c r="BD88" i="22"/>
  <c r="BD39" i="22"/>
  <c r="BD69" i="22"/>
  <c r="BD53" i="22"/>
  <c r="BD83" i="22"/>
  <c r="BD93" i="22"/>
  <c r="BD58" i="22"/>
  <c r="BD90" i="22"/>
  <c r="BD12" i="22"/>
  <c r="BD94" i="22"/>
  <c r="BD52" i="22"/>
  <c r="BD66" i="22"/>
  <c r="BD61" i="22"/>
  <c r="BD86" i="22"/>
  <c r="BD65" i="22"/>
  <c r="BD80" i="22"/>
  <c r="BD22" i="22"/>
  <c r="BD73" i="22"/>
  <c r="BD14" i="22"/>
  <c r="BD43" i="22"/>
  <c r="BD85" i="22"/>
  <c r="BD19" i="22"/>
  <c r="BD81" i="22"/>
  <c r="BD56" i="22"/>
  <c r="BD21" i="22"/>
  <c r="BD95" i="22"/>
  <c r="BD82" i="22"/>
  <c r="BD68" i="22"/>
  <c r="BD79" i="22"/>
  <c r="BD84" i="22"/>
  <c r="BD24" i="22"/>
  <c r="BD31" i="22"/>
  <c r="BD11" i="22"/>
  <c r="BD55" i="22"/>
  <c r="BD32" i="22"/>
  <c r="BD20" i="22"/>
  <c r="BD72" i="22"/>
  <c r="BD35" i="22"/>
  <c r="BD13" i="22"/>
  <c r="BD38" i="22"/>
  <c r="BD57" i="22"/>
  <c r="BD99" i="22"/>
  <c r="BD100" i="22"/>
  <c r="BD71" i="22"/>
  <c r="BD18" i="22"/>
  <c r="BD59" i="22"/>
  <c r="BD45" i="22"/>
  <c r="BD101" i="22"/>
  <c r="BD16" i="22"/>
  <c r="BD30" i="22"/>
  <c r="BD46" i="22"/>
  <c r="BD76" i="22"/>
  <c r="BD25" i="22"/>
  <c r="BD27" i="22"/>
  <c r="BD89" i="22"/>
  <c r="BD33" i="22"/>
  <c r="BD98" i="22"/>
  <c r="BD54" i="22"/>
  <c r="BD28" i="22"/>
  <c r="BD97" i="22"/>
  <c r="BD104" i="22"/>
  <c r="BD50" i="22"/>
  <c r="BD48" i="22"/>
  <c r="BD62" i="22"/>
  <c r="BD47" i="22"/>
  <c r="BD102" i="22"/>
  <c r="BD8" i="22"/>
  <c r="BD64" i="22"/>
  <c r="BD42" i="22"/>
  <c r="BD26" i="22"/>
  <c r="BD17" i="22"/>
  <c r="BD92" i="22"/>
  <c r="BD67" i="22"/>
  <c r="BD41" i="22"/>
  <c r="BD87" i="22"/>
  <c r="BD34" i="22"/>
  <c r="BD49" i="22"/>
  <c r="BD78" i="22"/>
  <c r="BD44" i="22"/>
  <c r="BD103" i="22"/>
  <c r="BD40" i="22"/>
  <c r="BD74" i="22"/>
  <c r="BD51" i="22"/>
  <c r="BD75" i="22"/>
  <c r="BD10" i="22"/>
  <c r="BD63" i="22"/>
  <c r="BD91" i="22"/>
  <c r="BD23" i="22"/>
  <c r="BD37" i="22"/>
  <c r="BD96" i="22"/>
  <c r="BD60" i="22"/>
  <c r="BD9" i="22"/>
  <c r="BF49" i="22"/>
  <c r="BF10" i="22"/>
  <c r="BF60" i="22"/>
  <c r="BF63" i="22"/>
  <c r="BF37" i="22"/>
  <c r="BF56" i="22"/>
  <c r="BF20" i="22"/>
  <c r="BF22" i="22"/>
  <c r="BF48" i="22"/>
  <c r="BF76" i="22"/>
  <c r="BF44" i="22"/>
  <c r="BF34" i="22"/>
  <c r="BF40" i="22"/>
  <c r="BF39" i="22"/>
  <c r="BF88" i="22"/>
  <c r="BF62" i="22"/>
  <c r="BF23" i="22"/>
  <c r="BF85" i="22"/>
  <c r="BF38" i="22"/>
  <c r="BF19" i="22"/>
  <c r="BF61" i="22"/>
  <c r="BF29" i="22"/>
  <c r="BF50" i="22"/>
  <c r="BF54" i="22"/>
  <c r="BF33" i="22"/>
  <c r="BF11" i="22"/>
  <c r="BF14" i="22"/>
  <c r="BF103" i="22"/>
  <c r="BF87" i="22"/>
  <c r="BF102" i="22"/>
  <c r="BF46" i="22"/>
  <c r="BF101" i="22"/>
  <c r="BF71" i="22"/>
  <c r="BF68" i="22"/>
  <c r="BF36" i="22"/>
  <c r="BF55" i="22"/>
  <c r="BF64" i="22"/>
  <c r="BF91" i="22"/>
  <c r="BF13" i="22"/>
  <c r="BF73" i="22"/>
  <c r="BF18" i="22"/>
  <c r="BF98" i="22"/>
  <c r="BF27" i="22"/>
  <c r="BF69" i="22"/>
  <c r="BF12" i="22"/>
  <c r="BF9" i="22"/>
  <c r="BF45" i="22"/>
  <c r="BF95" i="22"/>
  <c r="BF31" i="22"/>
  <c r="BF97" i="22"/>
  <c r="BF86" i="22"/>
  <c r="BF16" i="22"/>
  <c r="BF104" i="22"/>
  <c r="BF66" i="22"/>
  <c r="BF52" i="22"/>
  <c r="BF15" i="22"/>
  <c r="BF83" i="22"/>
  <c r="BF99" i="22"/>
  <c r="BF90" i="22"/>
  <c r="BF59" i="22"/>
  <c r="BF57" i="22"/>
  <c r="BF25" i="22"/>
  <c r="BF84" i="22"/>
  <c r="BF100" i="22"/>
  <c r="BF82" i="22"/>
  <c r="BF81" i="22"/>
  <c r="BF65" i="22"/>
  <c r="BF93" i="22"/>
  <c r="BF32" i="22"/>
  <c r="BF78" i="22"/>
  <c r="BF24" i="22"/>
  <c r="BF47" i="22"/>
  <c r="BF53" i="22"/>
  <c r="BF89" i="22"/>
  <c r="BF21" i="22"/>
  <c r="BF35" i="22"/>
  <c r="BF58" i="22"/>
  <c r="BF30" i="22"/>
  <c r="BF80" i="22"/>
  <c r="BF94" i="22"/>
  <c r="BF75" i="22"/>
  <c r="BF43" i="22"/>
  <c r="BF67" i="22"/>
  <c r="BF72" i="22"/>
  <c r="BF42" i="22"/>
  <c r="BF70" i="22"/>
  <c r="BF26" i="22"/>
  <c r="BF8" i="22"/>
  <c r="BF28" i="22"/>
  <c r="BF51" i="22"/>
  <c r="BF79" i="22"/>
  <c r="BF96" i="22"/>
  <c r="BF77" i="22"/>
  <c r="BF41" i="22"/>
  <c r="BF17" i="22"/>
  <c r="BF92" i="22"/>
  <c r="BF74" i="22"/>
  <c r="BH8" i="22"/>
  <c r="BH89" i="22"/>
  <c r="BH13" i="22"/>
  <c r="BH27" i="22"/>
  <c r="BH93" i="22"/>
  <c r="BH48" i="22"/>
  <c r="BH22" i="22"/>
  <c r="BH75" i="22"/>
  <c r="BH85" i="22"/>
  <c r="BH67" i="22"/>
  <c r="BH14" i="22"/>
  <c r="BH10" i="22"/>
  <c r="BH32" i="22"/>
  <c r="BH104" i="22"/>
  <c r="BH35" i="22"/>
  <c r="BH80" i="22"/>
  <c r="BH33" i="22"/>
  <c r="BH23" i="22"/>
  <c r="BH79" i="22"/>
  <c r="BH11" i="22"/>
  <c r="BH88" i="22"/>
  <c r="BH52" i="22"/>
  <c r="BH96" i="22"/>
  <c r="BH74" i="22"/>
  <c r="BH98" i="22"/>
  <c r="BH51" i="22"/>
  <c r="BH61" i="22"/>
  <c r="BH103" i="22"/>
  <c r="BH20" i="22"/>
  <c r="BH72" i="22"/>
  <c r="BH81" i="22"/>
  <c r="BH70" i="22"/>
  <c r="BH66" i="22"/>
  <c r="BH15" i="22"/>
  <c r="BH100" i="22"/>
  <c r="BH73" i="22"/>
  <c r="BH69" i="22"/>
  <c r="BH83" i="22"/>
  <c r="BH41" i="22"/>
  <c r="BH40" i="22"/>
  <c r="BH101" i="22"/>
  <c r="BH64" i="22"/>
  <c r="BH97" i="22"/>
  <c r="BH28" i="22"/>
  <c r="BH53" i="22"/>
  <c r="BH90" i="22"/>
  <c r="BH25" i="22"/>
  <c r="BH12" i="22"/>
  <c r="BH44" i="22"/>
  <c r="BH77" i="22"/>
  <c r="BH37" i="22"/>
  <c r="BH91" i="22"/>
  <c r="BH82" i="22"/>
  <c r="BH62" i="22"/>
  <c r="BH47" i="22"/>
  <c r="BH65" i="22"/>
  <c r="BH59" i="22"/>
  <c r="BH19" i="22"/>
  <c r="BH58" i="22"/>
  <c r="BH46" i="22"/>
  <c r="BH71" i="22"/>
  <c r="BH16" i="22"/>
  <c r="BH36" i="22"/>
  <c r="BH49" i="22"/>
  <c r="BH76" i="22"/>
  <c r="BH84" i="22"/>
  <c r="BH78" i="22"/>
  <c r="BH92" i="22"/>
  <c r="BH45" i="22"/>
  <c r="BH50" i="22"/>
  <c r="BH42" i="22"/>
  <c r="BH94" i="22"/>
  <c r="BH21" i="22"/>
  <c r="BH29" i="22"/>
  <c r="BH31" i="22"/>
  <c r="BH17" i="22"/>
  <c r="BH34" i="22"/>
  <c r="BH57" i="22"/>
  <c r="BH102" i="22"/>
  <c r="BH56" i="22"/>
  <c r="BH95" i="22"/>
  <c r="BH87" i="22"/>
  <c r="BH55" i="22"/>
  <c r="BH9" i="22"/>
  <c r="BH38" i="22"/>
  <c r="BH26" i="22"/>
  <c r="BH43" i="22"/>
  <c r="BH86" i="22"/>
  <c r="BH54" i="22"/>
  <c r="BH60" i="22"/>
  <c r="BH24" i="22"/>
  <c r="BH68" i="22"/>
  <c r="BH30" i="22"/>
  <c r="BH99" i="22"/>
  <c r="BH18" i="22"/>
  <c r="BH63" i="22"/>
  <c r="BH39" i="22"/>
  <c r="BP72" i="22"/>
  <c r="BP36" i="22"/>
  <c r="BP17" i="22"/>
  <c r="BP103" i="22"/>
  <c r="BP79" i="22"/>
  <c r="BP91" i="22"/>
  <c r="BP64" i="22"/>
  <c r="BP20" i="22"/>
  <c r="BP102" i="22"/>
  <c r="BP85" i="22"/>
  <c r="BP61" i="22"/>
  <c r="BP9" i="22"/>
  <c r="BP39" i="22"/>
  <c r="BP104" i="22"/>
  <c r="BP43" i="22"/>
  <c r="BP46" i="22"/>
  <c r="BP81" i="22"/>
  <c r="BP33" i="22"/>
  <c r="BP55" i="22"/>
  <c r="BP71" i="22"/>
  <c r="BP84" i="22"/>
  <c r="BP58" i="22"/>
  <c r="BP19" i="22"/>
  <c r="BP27" i="22"/>
  <c r="BP31" i="22"/>
  <c r="BP30" i="22"/>
  <c r="BP12" i="22"/>
  <c r="BP18" i="22"/>
  <c r="BP80" i="22"/>
  <c r="BP60" i="22"/>
  <c r="BP35" i="22"/>
  <c r="BP41" i="22"/>
  <c r="BP23" i="22"/>
  <c r="BP10" i="22"/>
  <c r="BP8" i="22"/>
  <c r="BP40" i="22"/>
  <c r="BP59" i="22"/>
  <c r="BP14" i="22"/>
  <c r="BP98" i="22"/>
  <c r="BP57" i="22"/>
  <c r="BP92" i="22"/>
  <c r="BP70" i="22"/>
  <c r="BP28" i="22"/>
  <c r="BP26" i="22"/>
  <c r="BP88" i="22"/>
  <c r="BP76" i="22"/>
  <c r="BP53" i="22"/>
  <c r="BP69" i="22"/>
  <c r="BP37" i="22"/>
  <c r="BP63" i="22"/>
  <c r="BP49" i="22"/>
  <c r="BP97" i="22"/>
  <c r="BP89" i="22"/>
  <c r="BP100" i="22"/>
  <c r="BP66" i="22"/>
  <c r="BP96" i="22"/>
  <c r="BP101" i="22"/>
  <c r="BP38" i="22"/>
  <c r="BP67" i="22"/>
  <c r="BP50" i="22"/>
  <c r="BP56" i="22"/>
  <c r="BP51" i="22"/>
  <c r="BP94" i="22"/>
  <c r="BP47" i="22"/>
  <c r="BP25" i="22"/>
  <c r="BP93" i="22"/>
  <c r="BP16" i="22"/>
  <c r="BP73" i="22"/>
  <c r="BP54" i="22"/>
  <c r="BP52" i="22"/>
  <c r="BP74" i="22"/>
  <c r="BP44" i="22"/>
  <c r="BP83" i="22"/>
  <c r="BP87" i="22"/>
  <c r="BP21" i="22"/>
  <c r="BP11" i="22"/>
  <c r="BP95" i="22"/>
  <c r="BP75" i="22"/>
  <c r="BP34" i="22"/>
  <c r="BP90" i="22"/>
  <c r="BP62" i="22"/>
  <c r="BP48" i="22"/>
  <c r="BP86" i="22"/>
  <c r="BP13" i="22"/>
  <c r="BP29" i="22"/>
  <c r="BP32" i="22"/>
  <c r="BP77" i="22"/>
  <c r="BP68" i="22"/>
  <c r="BP65" i="22"/>
  <c r="BP22" i="22"/>
  <c r="BP42" i="22"/>
  <c r="BP24" i="22"/>
  <c r="BP45" i="22"/>
  <c r="BP82" i="22"/>
  <c r="BP15" i="22"/>
  <c r="BP78" i="22"/>
  <c r="BP99" i="22"/>
  <c r="BJ9" i="22"/>
  <c r="BJ21" i="22"/>
  <c r="BJ100" i="22"/>
  <c r="BJ52" i="22"/>
  <c r="BJ51" i="22"/>
  <c r="BJ15" i="22"/>
  <c r="BJ98" i="22"/>
  <c r="BJ57" i="22"/>
  <c r="BJ26" i="22"/>
  <c r="BJ42" i="22"/>
  <c r="BJ17" i="22"/>
  <c r="BJ58" i="22"/>
  <c r="BJ69" i="22"/>
  <c r="BJ33" i="22"/>
  <c r="BJ87" i="22"/>
  <c r="BJ36" i="22"/>
  <c r="BJ41" i="22"/>
  <c r="BJ68" i="22"/>
  <c r="BJ65" i="22"/>
  <c r="BJ85" i="22"/>
  <c r="BJ86" i="22"/>
  <c r="BJ13" i="22"/>
  <c r="BJ62" i="22"/>
  <c r="BJ67" i="22"/>
  <c r="BJ30" i="22"/>
  <c r="BJ43" i="22"/>
  <c r="BJ48" i="22"/>
  <c r="BJ91" i="22"/>
  <c r="BJ77" i="22"/>
  <c r="BJ72" i="22"/>
  <c r="BJ34" i="22"/>
  <c r="BJ46" i="22"/>
  <c r="BJ95" i="22"/>
  <c r="BJ31" i="22"/>
  <c r="BJ75" i="22"/>
  <c r="BJ76" i="22"/>
  <c r="BJ25" i="22"/>
  <c r="BJ64" i="22"/>
  <c r="BJ80" i="22"/>
  <c r="BJ83" i="22"/>
  <c r="BJ89" i="22"/>
  <c r="BJ78" i="22"/>
  <c r="BJ29" i="22"/>
  <c r="BJ73" i="22"/>
  <c r="BJ37" i="22"/>
  <c r="BJ27" i="22"/>
  <c r="BJ19" i="22"/>
  <c r="BJ88" i="22"/>
  <c r="BJ11" i="22"/>
  <c r="BJ61" i="22"/>
  <c r="BJ32" i="22"/>
  <c r="BJ22" i="22"/>
  <c r="BJ12" i="22"/>
  <c r="BJ49" i="22"/>
  <c r="BJ74" i="22"/>
  <c r="BJ35" i="22"/>
  <c r="BJ8" i="22"/>
  <c r="BJ18" i="22"/>
  <c r="BJ53" i="22"/>
  <c r="BJ79" i="22"/>
  <c r="BJ90" i="22"/>
  <c r="BJ97" i="22"/>
  <c r="BJ44" i="22"/>
  <c r="BJ66" i="22"/>
  <c r="BJ71" i="22"/>
  <c r="BJ59" i="22"/>
  <c r="BJ92" i="22"/>
  <c r="BJ16" i="22"/>
  <c r="BJ63" i="22"/>
  <c r="BJ39" i="22"/>
  <c r="BJ20" i="22"/>
  <c r="BJ38" i="22"/>
  <c r="BJ28" i="22"/>
  <c r="BJ60" i="22"/>
  <c r="BJ10" i="22"/>
  <c r="BJ70" i="22"/>
  <c r="BJ93" i="22"/>
  <c r="BJ84" i="22"/>
  <c r="BJ55" i="22"/>
  <c r="BJ24" i="22"/>
  <c r="BJ54" i="22"/>
  <c r="BJ14" i="22"/>
  <c r="BJ81" i="22"/>
  <c r="BJ96" i="22"/>
  <c r="BJ40" i="22"/>
  <c r="BJ104" i="22"/>
  <c r="BJ82" i="22"/>
  <c r="BJ102" i="22"/>
  <c r="BJ45" i="22"/>
  <c r="BJ99" i="22"/>
  <c r="BJ103" i="22"/>
  <c r="BJ47" i="22"/>
  <c r="BJ23" i="22"/>
  <c r="BJ94" i="22"/>
  <c r="BJ50" i="22"/>
  <c r="BJ101" i="22"/>
  <c r="BJ56" i="22"/>
  <c r="U20" i="22"/>
  <c r="U60" i="22"/>
  <c r="U65" i="22"/>
  <c r="U56" i="22"/>
  <c r="U24" i="22"/>
  <c r="AD24" i="22" s="1"/>
  <c r="U66" i="22"/>
  <c r="U22" i="22"/>
  <c r="U37" i="22"/>
  <c r="AC47" i="22"/>
  <c r="AC53" i="22"/>
  <c r="AC59" i="22"/>
  <c r="AC65" i="22"/>
  <c r="AC28" i="22"/>
  <c r="AC30" i="22"/>
  <c r="AC52" i="22"/>
  <c r="AC54" i="22"/>
  <c r="AC64" i="22"/>
  <c r="U30" i="22"/>
  <c r="U53" i="22"/>
  <c r="U41" i="22"/>
  <c r="U23" i="22"/>
  <c r="U35" i="22"/>
  <c r="U54" i="22"/>
  <c r="U42" i="22"/>
  <c r="AJ42" i="22" s="1"/>
  <c r="AC50" i="22"/>
  <c r="AC41" i="22"/>
  <c r="AC49" i="22"/>
  <c r="AC35" i="22"/>
  <c r="AC23" i="22"/>
  <c r="AE24" i="22"/>
  <c r="AE29" i="22"/>
  <c r="AE41" i="22"/>
  <c r="AE40" i="22"/>
  <c r="AE32" i="22"/>
  <c r="AE42" i="22"/>
  <c r="AE54" i="22"/>
  <c r="AE37" i="22"/>
  <c r="AE66" i="22"/>
  <c r="AE31" i="22"/>
  <c r="AE62" i="22"/>
  <c r="AF65" i="22"/>
  <c r="AF47" i="22"/>
  <c r="AF55" i="22"/>
  <c r="AF64" i="22"/>
  <c r="AF56" i="22"/>
  <c r="AC16" i="22"/>
  <c r="U19" i="22"/>
  <c r="U62" i="22"/>
  <c r="U67" i="22"/>
  <c r="U58" i="22"/>
  <c r="U49" i="22"/>
  <c r="U63" i="22"/>
  <c r="U29" i="22"/>
  <c r="U52" i="22"/>
  <c r="U40" i="22"/>
  <c r="AC19" i="22"/>
  <c r="AC40" i="22"/>
  <c r="AC22" i="22"/>
  <c r="AC58" i="22"/>
  <c r="AC67" i="22"/>
  <c r="AC57" i="22"/>
  <c r="AF58" i="22"/>
  <c r="U18" i="22"/>
  <c r="U64" i="22"/>
  <c r="U55" i="22"/>
  <c r="U28" i="22"/>
  <c r="U51" i="22"/>
  <c r="U47" i="22"/>
  <c r="U57" i="22"/>
  <c r="AC63" i="22"/>
  <c r="AC29" i="22"/>
  <c r="AC62" i="22"/>
  <c r="AC56" i="22"/>
  <c r="AC61" i="22"/>
  <c r="AC51" i="22"/>
  <c r="AC38" i="22"/>
  <c r="AE35" i="22"/>
  <c r="AE55" i="22"/>
  <c r="AE58" i="22"/>
  <c r="AE23" i="22"/>
  <c r="AE20" i="22"/>
  <c r="AE34" i="22"/>
  <c r="AE19" i="22"/>
  <c r="AE52" i="22"/>
  <c r="AE65" i="22"/>
  <c r="AE48" i="22"/>
  <c r="AE51" i="22"/>
  <c r="AF46" i="22"/>
  <c r="AF63" i="22"/>
  <c r="AF50" i="22"/>
  <c r="AF53" i="22"/>
  <c r="AF49" i="22"/>
  <c r="AC46" i="22"/>
  <c r="AC48" i="22"/>
  <c r="AE28" i="22"/>
  <c r="AE64" i="22"/>
  <c r="AE18" i="22"/>
  <c r="AE22" i="22"/>
  <c r="AE25" i="22"/>
  <c r="AF57" i="22"/>
  <c r="AF62" i="22"/>
  <c r="AF51" i="22"/>
  <c r="U48" i="22"/>
  <c r="U61" i="22"/>
  <c r="AC55" i="22"/>
  <c r="AE27" i="22"/>
  <c r="AE47" i="22"/>
  <c r="AE50" i="22"/>
  <c r="AE46" i="22"/>
  <c r="AE38" i="22"/>
  <c r="AF54" i="22"/>
  <c r="AF61" i="22"/>
  <c r="AF60" i="22"/>
  <c r="U38" i="22"/>
  <c r="U59" i="22"/>
  <c r="AC66" i="22"/>
  <c r="AC42" i="22"/>
  <c r="AE59" i="22"/>
  <c r="AE67" i="22"/>
  <c r="AE49" i="22"/>
  <c r="AE61" i="22"/>
  <c r="AE57" i="22"/>
  <c r="AF48" i="22"/>
  <c r="AF67" i="22"/>
  <c r="AF52" i="22"/>
  <c r="U46" i="22"/>
  <c r="AC60" i="22"/>
  <c r="AE30" i="22"/>
  <c r="AE56" i="22"/>
  <c r="AE63" i="22"/>
  <c r="AF66" i="22"/>
  <c r="AC24" i="22"/>
  <c r="AE53" i="22"/>
  <c r="AE33" i="22"/>
  <c r="U50" i="22"/>
  <c r="AE60" i="22"/>
  <c r="AF59" i="22"/>
  <c r="AE21" i="22"/>
  <c r="AE39" i="22"/>
  <c r="BB196" i="23"/>
  <c r="X196" i="23"/>
  <c r="X20" i="22"/>
  <c r="X29" i="22"/>
  <c r="X50" i="22"/>
  <c r="X46" i="22"/>
  <c r="X66" i="22"/>
  <c r="X41" i="22"/>
  <c r="X52" i="22"/>
  <c r="X48" i="22"/>
  <c r="X54" i="22"/>
  <c r="X22" i="22"/>
  <c r="X30" i="22"/>
  <c r="X58" i="22"/>
  <c r="X38" i="22"/>
  <c r="X60" i="22"/>
  <c r="X59" i="22"/>
  <c r="X53" i="22"/>
  <c r="X65" i="22"/>
  <c r="X24" i="22"/>
  <c r="X18" i="22"/>
  <c r="X62" i="22"/>
  <c r="X16" i="22"/>
  <c r="X19" i="22"/>
  <c r="X63" i="22"/>
  <c r="X61" i="22"/>
  <c r="X42" i="22"/>
  <c r="X67" i="22"/>
  <c r="X55" i="22"/>
  <c r="X23" i="22"/>
  <c r="X35" i="22"/>
  <c r="X28" i="22"/>
  <c r="X51" i="22"/>
  <c r="X49" i="22"/>
  <c r="X47" i="22"/>
  <c r="X56" i="22"/>
  <c r="X40" i="22"/>
  <c r="X57" i="22"/>
  <c r="X64" i="22"/>
  <c r="X37" i="22"/>
  <c r="H75" i="22" l="1"/>
  <c r="N87" i="22" s="1"/>
  <c r="C77" i="22"/>
  <c r="C76" i="22"/>
  <c r="Y22" i="22"/>
  <c r="Y16" i="22"/>
  <c r="Y20" i="22"/>
  <c r="Y21" i="22"/>
  <c r="Y39" i="22"/>
  <c r="Y35" i="22"/>
  <c r="Y42" i="22"/>
  <c r="Y46" i="22"/>
  <c r="J46" i="22" s="1"/>
  <c r="Y40" i="22"/>
  <c r="Y41" i="22"/>
  <c r="Y30" i="22"/>
  <c r="Y24" i="22"/>
  <c r="Y38" i="22"/>
  <c r="Y67" i="22"/>
  <c r="Y19" i="22"/>
  <c r="Z29" i="22"/>
  <c r="Y29" i="22" s="1"/>
  <c r="Y28" i="22"/>
  <c r="Y47" i="22"/>
  <c r="Y18" i="22"/>
  <c r="Y37" i="22"/>
  <c r="Y60" i="22"/>
  <c r="Y51" i="22"/>
  <c r="I50" i="22"/>
  <c r="AD50" i="22"/>
  <c r="I51" i="22"/>
  <c r="AD51" i="22"/>
  <c r="Y56" i="22"/>
  <c r="AD57" i="22"/>
  <c r="I57" i="22"/>
  <c r="AD55" i="22"/>
  <c r="I55" i="22"/>
  <c r="AD41" i="22"/>
  <c r="I41" i="22"/>
  <c r="AJ41" i="22"/>
  <c r="Y64" i="22"/>
  <c r="I20" i="22"/>
  <c r="AD20" i="22"/>
  <c r="I59" i="22"/>
  <c r="AD59" i="22"/>
  <c r="I48" i="22"/>
  <c r="AD48" i="22"/>
  <c r="Z23" i="22"/>
  <c r="Y23" i="22" s="1"/>
  <c r="I16" i="22"/>
  <c r="AD16" i="22"/>
  <c r="Y55" i="22"/>
  <c r="J22" i="22"/>
  <c r="S22" i="22" s="1"/>
  <c r="AD52" i="22"/>
  <c r="I52" i="22"/>
  <c r="I58" i="22"/>
  <c r="AD58" i="22"/>
  <c r="J16" i="22"/>
  <c r="J37" i="22"/>
  <c r="Y68" i="22"/>
  <c r="J68" i="22" s="1"/>
  <c r="AI68" i="22" s="1"/>
  <c r="AD42" i="22"/>
  <c r="I42" i="22"/>
  <c r="Y66" i="22"/>
  <c r="I61" i="22"/>
  <c r="AD61" i="22"/>
  <c r="D79" i="22"/>
  <c r="D78" i="22"/>
  <c r="D81" i="22"/>
  <c r="D82" i="22"/>
  <c r="D80" i="22"/>
  <c r="Y62" i="22"/>
  <c r="I47" i="22"/>
  <c r="AD47" i="22"/>
  <c r="I64" i="22"/>
  <c r="AD64" i="22"/>
  <c r="Y57" i="22"/>
  <c r="AD29" i="22"/>
  <c r="I29" i="22"/>
  <c r="AJ29" i="22"/>
  <c r="I67" i="22"/>
  <c r="AD67" i="22"/>
  <c r="Y49" i="22"/>
  <c r="I54" i="22"/>
  <c r="AD54" i="22"/>
  <c r="I53" i="22"/>
  <c r="AD53" i="22"/>
  <c r="Y54" i="22"/>
  <c r="Y65" i="22"/>
  <c r="I37" i="22"/>
  <c r="AD37" i="22"/>
  <c r="AD56" i="22"/>
  <c r="I56" i="22"/>
  <c r="I62" i="22"/>
  <c r="AD62" i="22"/>
  <c r="J23" i="22"/>
  <c r="Y52" i="22"/>
  <c r="AD22" i="22"/>
  <c r="I22" i="22"/>
  <c r="I63" i="22"/>
  <c r="AD63" i="22"/>
  <c r="AD35" i="22"/>
  <c r="I35" i="22"/>
  <c r="AJ35" i="22"/>
  <c r="I30" i="22"/>
  <c r="AD30" i="22"/>
  <c r="AJ30" i="22"/>
  <c r="Y59" i="22"/>
  <c r="I65" i="22"/>
  <c r="AD65" i="22"/>
  <c r="I46" i="22"/>
  <c r="AD46" i="22"/>
  <c r="AD38" i="22"/>
  <c r="I38" i="22"/>
  <c r="AJ38" i="22"/>
  <c r="Y48" i="22"/>
  <c r="Y61" i="22"/>
  <c r="Y63" i="22"/>
  <c r="AD28" i="22"/>
  <c r="I28" i="22"/>
  <c r="AJ28" i="22"/>
  <c r="AD18" i="22"/>
  <c r="I18" i="22"/>
  <c r="Y58" i="22"/>
  <c r="AD40" i="22"/>
  <c r="I40" i="22"/>
  <c r="AJ40" i="22"/>
  <c r="I49" i="22"/>
  <c r="AD49" i="22"/>
  <c r="I19" i="22"/>
  <c r="AD19" i="22"/>
  <c r="AJ19" i="22"/>
  <c r="J18" i="22"/>
  <c r="Y50" i="22"/>
  <c r="I23" i="22"/>
  <c r="AD23" i="22"/>
  <c r="C81" i="22"/>
  <c r="C78" i="22"/>
  <c r="C79" i="22"/>
  <c r="H79" i="22" s="1"/>
  <c r="C80" i="22"/>
  <c r="C82" i="22"/>
  <c r="Y53" i="22"/>
  <c r="AD66" i="22"/>
  <c r="I66" i="22"/>
  <c r="AD60" i="22"/>
  <c r="I60" i="22"/>
  <c r="Z196" i="23"/>
  <c r="BD196" i="23"/>
  <c r="H78" i="22" l="1"/>
  <c r="H80" i="22"/>
  <c r="N103" i="22" s="1"/>
  <c r="O103" i="22" s="1"/>
  <c r="H81" i="22"/>
  <c r="N106" i="22" s="1"/>
  <c r="O106" i="22" s="1"/>
  <c r="H82" i="22"/>
  <c r="AI46" i="22"/>
  <c r="AI39" i="22"/>
  <c r="AJ39" i="22" s="1"/>
  <c r="J57" i="22"/>
  <c r="AI57" i="22" s="1"/>
  <c r="L57" i="22" s="1"/>
  <c r="AI16" i="22"/>
  <c r="M16" i="22" s="1"/>
  <c r="L87" i="22" s="1"/>
  <c r="M87" i="22" s="1"/>
  <c r="O87" i="22" s="1"/>
  <c r="AI18" i="22"/>
  <c r="M18" i="22" s="1"/>
  <c r="AI23" i="22"/>
  <c r="AI37" i="22"/>
  <c r="O22" i="22"/>
  <c r="AE62" i="23" s="1"/>
  <c r="AI22" i="22"/>
  <c r="L68" i="22"/>
  <c r="AJ68" i="22"/>
  <c r="M68" i="22" s="1"/>
  <c r="BF196" i="23"/>
  <c r="AB196" i="23"/>
  <c r="M46" i="22" l="1"/>
  <c r="AG46" i="22" s="1"/>
  <c r="L46" i="22"/>
  <c r="AJ46" i="22"/>
  <c r="N101" i="22"/>
  <c r="R24" i="22"/>
  <c r="Q24" i="22" s="1"/>
  <c r="W24" i="22" s="1"/>
  <c r="AJ57" i="22"/>
  <c r="M57" i="22" s="1"/>
  <c r="AJ22" i="22"/>
  <c r="M22" i="22" s="1"/>
  <c r="L22" i="22"/>
  <c r="L18" i="22"/>
  <c r="AJ18" i="22"/>
  <c r="AG68" i="22"/>
  <c r="D76" i="22" s="1"/>
  <c r="H76" i="22" s="1"/>
  <c r="N89" i="22" s="1"/>
  <c r="N68" i="22"/>
  <c r="AJ37" i="22"/>
  <c r="M37" i="22" s="1"/>
  <c r="L101" i="22" s="1"/>
  <c r="M101" i="22" s="1"/>
  <c r="L37" i="22"/>
  <c r="AJ23" i="22"/>
  <c r="M23" i="22" s="1"/>
  <c r="L23" i="22"/>
  <c r="AJ16" i="22"/>
  <c r="L16" i="22"/>
  <c r="F199" i="23"/>
  <c r="BH196" i="23"/>
  <c r="AJ196" i="23" s="1"/>
  <c r="AD196" i="23"/>
  <c r="AF195" i="23" s="1"/>
  <c r="AI195" i="23" s="1"/>
  <c r="O101" i="22" l="1"/>
  <c r="S38" i="22" s="1"/>
  <c r="N46" i="22"/>
  <c r="S40" i="22"/>
  <c r="S41" i="22"/>
  <c r="S17" i="22"/>
  <c r="O17" i="22" s="1"/>
  <c r="S21" i="22"/>
  <c r="O37" i="22"/>
  <c r="AA320" i="23" s="1"/>
  <c r="AI320" i="23" s="1"/>
  <c r="AA316" i="23" s="1"/>
  <c r="AI316" i="23" s="1"/>
  <c r="J312" i="23" s="1"/>
  <c r="AJ40" i="23" s="1"/>
  <c r="B40" i="23" s="1"/>
  <c r="G23" i="40" s="1"/>
  <c r="H23" i="40" s="1"/>
  <c r="I23" i="40" s="1"/>
  <c r="AG57" i="22"/>
  <c r="D77" i="22" s="1"/>
  <c r="H77" i="22" s="1"/>
  <c r="S20" i="22"/>
  <c r="S19" i="22"/>
  <c r="O19" i="22" s="1"/>
  <c r="O41" i="22"/>
  <c r="AA308" i="23" s="1"/>
  <c r="AI308" i="23" s="1"/>
  <c r="J302" i="23" s="1"/>
  <c r="AJ39" i="23" s="1"/>
  <c r="B39" i="23" s="1"/>
  <c r="G22" i="40" s="1"/>
  <c r="H22" i="40" s="1"/>
  <c r="I22" i="40" s="1"/>
  <c r="S18" i="22"/>
  <c r="S16" i="22"/>
  <c r="AL199" i="23"/>
  <c r="H199" i="23"/>
  <c r="S37" i="22" l="1"/>
  <c r="N107" i="22"/>
  <c r="O107" i="22" s="1"/>
  <c r="N24" i="22"/>
  <c r="L94" i="22" s="1"/>
  <c r="O38" i="22"/>
  <c r="AA142" i="23" s="1"/>
  <c r="AI142" i="23" s="1"/>
  <c r="AA137" i="23" s="1"/>
  <c r="AI137" i="23" s="1"/>
  <c r="AA136" i="23" s="1"/>
  <c r="AI136" i="23" s="1"/>
  <c r="J132" i="23" s="1"/>
  <c r="AJ27" i="23" s="1"/>
  <c r="B27" i="23" s="1"/>
  <c r="G17" i="40" s="1"/>
  <c r="H17" i="40" s="1"/>
  <c r="I17" i="40" s="1"/>
  <c r="AA317" i="23"/>
  <c r="AI317" i="23" s="1"/>
  <c r="AI122" i="23"/>
  <c r="O16" i="22"/>
  <c r="AE57" i="23" s="1"/>
  <c r="AJ57" i="23" s="1"/>
  <c r="AE58" i="23"/>
  <c r="AJ58" i="23" s="1"/>
  <c r="O18" i="22"/>
  <c r="AN199" i="23"/>
  <c r="J199" i="23"/>
  <c r="M99" i="22" l="1"/>
  <c r="J31" i="22" s="1"/>
  <c r="J32" i="22" s="1"/>
  <c r="M89" i="22"/>
  <c r="O89" i="22" s="1"/>
  <c r="S26" i="22" s="1"/>
  <c r="AA81" i="23"/>
  <c r="O25" i="22"/>
  <c r="AA91" i="23" s="1"/>
  <c r="AI91" i="23" s="1"/>
  <c r="J88" i="23" s="1"/>
  <c r="AJ21" i="23" s="1"/>
  <c r="B21" i="23" s="1"/>
  <c r="J55" i="23"/>
  <c r="AI17" i="23" s="1"/>
  <c r="B17" i="23" s="1"/>
  <c r="O42" i="22"/>
  <c r="AA271" i="23" s="1"/>
  <c r="AI271" i="23" s="1"/>
  <c r="L199" i="23"/>
  <c r="AP199" i="23"/>
  <c r="S42" i="22" l="1"/>
  <c r="AI97" i="23"/>
  <c r="J34" i="22"/>
  <c r="L122" i="23" s="1"/>
  <c r="S29" i="22"/>
  <c r="O36" i="22"/>
  <c r="S35" i="22"/>
  <c r="S27" i="22"/>
  <c r="S25" i="22"/>
  <c r="S28" i="22"/>
  <c r="O27" i="22"/>
  <c r="AA104" i="23" s="1"/>
  <c r="AI104" i="23" s="1"/>
  <c r="J101" i="23" s="1"/>
  <c r="AJ23" i="23" s="1"/>
  <c r="B23" i="23" s="1"/>
  <c r="C24" i="22"/>
  <c r="D24" i="22"/>
  <c r="AD219" i="23"/>
  <c r="AI219" i="23" s="1"/>
  <c r="J212" i="23" s="1"/>
  <c r="O24" i="22"/>
  <c r="J24" i="22"/>
  <c r="S23" i="22" s="1"/>
  <c r="I24" i="22"/>
  <c r="AR199" i="23"/>
  <c r="N199" i="23"/>
  <c r="S31" i="22" l="1"/>
  <c r="O31" i="22" s="1"/>
  <c r="AA120" i="23" s="1"/>
  <c r="AI120" i="23" s="1"/>
  <c r="J117" i="23" s="1"/>
  <c r="AR15" i="22"/>
  <c r="AJ34" i="23"/>
  <c r="B34" i="23" s="1"/>
  <c r="G18" i="40" s="1"/>
  <c r="H18" i="40" s="1"/>
  <c r="I18" i="40" s="1"/>
  <c r="AA270" i="23"/>
  <c r="AI270" i="23" s="1"/>
  <c r="J267" i="23" s="1"/>
  <c r="AJ36" i="23" s="1"/>
  <c r="B36" i="23" s="1"/>
  <c r="G20" i="40" s="1"/>
  <c r="H20" i="40" s="1"/>
  <c r="I20" i="40" s="1"/>
  <c r="F184" i="23"/>
  <c r="AR13" i="22"/>
  <c r="AR5" i="22"/>
  <c r="D36" i="22"/>
  <c r="AR7" i="22"/>
  <c r="AR14" i="22"/>
  <c r="AR12" i="22"/>
  <c r="AR9" i="22"/>
  <c r="AR10" i="22"/>
  <c r="AR8" i="22"/>
  <c r="AR6" i="22"/>
  <c r="AR11" i="22"/>
  <c r="AR3" i="22"/>
  <c r="F36" i="22"/>
  <c r="AE36" i="22" s="1"/>
  <c r="AR4" i="22"/>
  <c r="AA263" i="23"/>
  <c r="AI263" i="23" s="1"/>
  <c r="J260" i="23" s="1"/>
  <c r="AJ35" i="23" s="1"/>
  <c r="B35" i="23" s="1"/>
  <c r="G19" i="40" s="1"/>
  <c r="H19" i="40" s="1"/>
  <c r="I19" i="40" s="1"/>
  <c r="AI24" i="22"/>
  <c r="O23" i="22"/>
  <c r="AA78" i="23" s="1"/>
  <c r="AI78" i="23" s="1"/>
  <c r="P199" i="23"/>
  <c r="AT199" i="23"/>
  <c r="AJ25" i="23" l="1"/>
  <c r="B25" i="23" s="1"/>
  <c r="AA98" i="23"/>
  <c r="AI98" i="23" s="1"/>
  <c r="J94" i="23" s="1"/>
  <c r="AJ22" i="23" s="1"/>
  <c r="B22" i="23" s="1"/>
  <c r="J183" i="23"/>
  <c r="AJ30" i="23" s="1"/>
  <c r="B30" i="23" s="1"/>
  <c r="AI79" i="23"/>
  <c r="J72" i="23" s="1"/>
  <c r="AJ20" i="23" s="1"/>
  <c r="B20" i="23" s="1"/>
  <c r="G16" i="40" s="1"/>
  <c r="H16" i="40" s="1"/>
  <c r="I16" i="40" s="1"/>
  <c r="L24" i="22"/>
  <c r="AJ24" i="22"/>
  <c r="M24" i="22" s="1"/>
  <c r="AV199" i="23"/>
  <c r="R199" i="23"/>
  <c r="B33" i="40" a="1"/>
  <c r="B27" i="40" a="1"/>
  <c r="B18" i="40" a="1"/>
  <c r="B30" i="40" a="1"/>
  <c r="B42" i="40" a="1"/>
  <c r="B36" i="40" a="1"/>
  <c r="B51" i="40" a="1"/>
  <c r="B15" i="40" a="1"/>
  <c r="B39" i="40" a="1"/>
  <c r="B45" i="40" a="1"/>
  <c r="B48" i="40" a="1"/>
  <c r="B24" i="40" a="1"/>
  <c r="B21" i="40" a="1"/>
  <c r="B30" i="40" l="1"/>
  <c r="D31" i="40" s="1"/>
  <c r="D32" i="40" s="1"/>
  <c r="B48" i="40"/>
  <c r="D49" i="40" s="1"/>
  <c r="D50" i="40" s="1"/>
  <c r="B18" i="40"/>
  <c r="D19" i="40" s="1"/>
  <c r="D20" i="40" s="1"/>
  <c r="B21" i="40"/>
  <c r="D22" i="40" s="1"/>
  <c r="D24" i="40" s="1"/>
  <c r="B15" i="40"/>
  <c r="C28" i="40" s="1"/>
  <c r="B27" i="40"/>
  <c r="D28" i="40" s="1"/>
  <c r="D29" i="40" s="1"/>
  <c r="B39" i="40"/>
  <c r="D40" i="40" s="1"/>
  <c r="D41" i="40" s="1"/>
  <c r="B42" i="40"/>
  <c r="D43" i="40" s="1"/>
  <c r="D44" i="40" s="1"/>
  <c r="B24" i="40"/>
  <c r="D25" i="40" s="1"/>
  <c r="D27" i="40" s="1"/>
  <c r="B45" i="40"/>
  <c r="D46" i="40" s="1"/>
  <c r="D48" i="40" s="1"/>
  <c r="B51" i="40"/>
  <c r="D52" i="40" s="1"/>
  <c r="D53" i="40" s="1"/>
  <c r="B33" i="40"/>
  <c r="D34" i="40" s="1"/>
  <c r="D35" i="40" s="1"/>
  <c r="B36" i="40"/>
  <c r="D37" i="40" s="1"/>
  <c r="D39" i="40" s="1"/>
  <c r="T199" i="23"/>
  <c r="AX199" i="23"/>
  <c r="D42" i="40" l="1"/>
  <c r="C29" i="40"/>
  <c r="C30" i="40"/>
  <c r="C43" i="40"/>
  <c r="D38" i="40"/>
  <c r="C17" i="40"/>
  <c r="D36" i="40"/>
  <c r="D16" i="40"/>
  <c r="D18" i="40" s="1"/>
  <c r="D47" i="40"/>
  <c r="C53" i="40"/>
  <c r="C34" i="40"/>
  <c r="D33" i="40"/>
  <c r="C42" i="40"/>
  <c r="C24" i="40"/>
  <c r="C44" i="40"/>
  <c r="C47" i="40"/>
  <c r="C35" i="40"/>
  <c r="C40" i="40"/>
  <c r="C19" i="40"/>
  <c r="C36" i="40"/>
  <c r="D26" i="40"/>
  <c r="C25" i="40"/>
  <c r="C45" i="40"/>
  <c r="C31" i="40"/>
  <c r="C26" i="40"/>
  <c r="C46" i="40"/>
  <c r="D30" i="40"/>
  <c r="D51" i="40"/>
  <c r="C41" i="40"/>
  <c r="C48" i="40"/>
  <c r="C22" i="40"/>
  <c r="C15" i="40"/>
  <c r="C18" i="40"/>
  <c r="C32" i="40"/>
  <c r="C39" i="40"/>
  <c r="C52" i="40"/>
  <c r="C23" i="40"/>
  <c r="C38" i="40"/>
  <c r="C20" i="40"/>
  <c r="C51" i="40"/>
  <c r="C16" i="40"/>
  <c r="C27" i="40"/>
  <c r="C37" i="40"/>
  <c r="C50" i="40"/>
  <c r="C49" i="40"/>
  <c r="C33" i="40"/>
  <c r="C21" i="40"/>
  <c r="D23" i="40"/>
  <c r="D21" i="40"/>
  <c r="D45" i="40"/>
  <c r="AZ199" i="23"/>
  <c r="V199" i="23"/>
  <c r="D17" i="40" l="1"/>
  <c r="X199" i="23"/>
  <c r="BB199" i="23"/>
  <c r="Z199" i="23" l="1"/>
  <c r="BD199" i="23"/>
  <c r="BF199" i="23" l="1"/>
  <c r="AB199" i="23"/>
  <c r="BH199" i="23" l="1"/>
  <c r="AJ199" i="23" s="1"/>
  <c r="AD190" i="23" s="1"/>
  <c r="AI190" i="23" s="1"/>
  <c r="AD199" i="23"/>
  <c r="AF198" i="23" s="1"/>
  <c r="AI198" i="23" s="1"/>
  <c r="AD191" i="23" s="1"/>
  <c r="AI191" i="23" s="1"/>
  <c r="AI187" i="23" l="1"/>
  <c r="AD202" i="23" s="1"/>
  <c r="AI202" i="23" s="1"/>
  <c r="F207" i="23" s="1"/>
  <c r="G207" i="23" l="1"/>
  <c r="AD207" i="23"/>
  <c r="AI207" i="23" s="1"/>
  <c r="AJ32" i="23" s="1"/>
  <c r="B32" i="23" s="1"/>
  <c r="H208" i="23"/>
  <c r="Z32" i="2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<sst xmlns="http://schemas.openxmlformats.org/spreadsheetml/2006/main" count="2321" uniqueCount="1164">
  <si>
    <t>利用定員</t>
    <rPh sb="0" eb="2">
      <t>リヨウ</t>
    </rPh>
    <rPh sb="2" eb="4">
      <t>テイイン</t>
    </rPh>
    <phoneticPr fontId="1"/>
  </si>
  <si>
    <t>合計</t>
    <rPh sb="0" eb="2">
      <t>ゴウケイ</t>
    </rPh>
    <phoneticPr fontId="1"/>
  </si>
  <si>
    <t>施設名</t>
    <rPh sb="0" eb="2">
      <t>シセツ</t>
    </rPh>
    <rPh sb="2" eb="3">
      <t>メイ</t>
    </rPh>
    <phoneticPr fontId="1"/>
  </si>
  <si>
    <t>施設名</t>
    <rPh sb="0" eb="2">
      <t>シセツ</t>
    </rPh>
    <rPh sb="2" eb="3">
      <t>メイ</t>
    </rPh>
    <phoneticPr fontId="3"/>
  </si>
  <si>
    <t>その他</t>
    <rPh sb="2" eb="3">
      <t>タ</t>
    </rPh>
    <phoneticPr fontId="1"/>
  </si>
  <si>
    <t>常勤</t>
    <rPh sb="0" eb="2">
      <t>ジョウキン</t>
    </rPh>
    <phoneticPr fontId="1"/>
  </si>
  <si>
    <t>非常勤</t>
    <rPh sb="0" eb="3">
      <t>ヒジョウキン</t>
    </rPh>
    <phoneticPr fontId="1"/>
  </si>
  <si>
    <t>職員名簿</t>
  </si>
  <si>
    <t>人</t>
    <rPh sb="0" eb="1">
      <t>ニン</t>
    </rPh>
    <phoneticPr fontId="1"/>
  </si>
  <si>
    <t>年</t>
    <rPh sb="0" eb="1">
      <t>ネン</t>
    </rPh>
    <phoneticPr fontId="1"/>
  </si>
  <si>
    <t>法人名</t>
    <rPh sb="0" eb="2">
      <t>ホウジン</t>
    </rPh>
    <rPh sb="2" eb="3">
      <t>メイ</t>
    </rPh>
    <phoneticPr fontId="1"/>
  </si>
  <si>
    <t>代表者名</t>
    <rPh sb="0" eb="3">
      <t>ダイヒョウシャ</t>
    </rPh>
    <rPh sb="3" eb="4">
      <t>メイ</t>
    </rPh>
    <phoneticPr fontId="1"/>
  </si>
  <si>
    <t>計</t>
    <rPh sb="0" eb="1">
      <t>ケイ</t>
    </rPh>
    <phoneticPr fontId="1"/>
  </si>
  <si>
    <t>クラス編成表</t>
  </si>
  <si>
    <t>クラス名</t>
    <rPh sb="3" eb="4">
      <t>メイ</t>
    </rPh>
    <phoneticPr fontId="3"/>
  </si>
  <si>
    <t>年 齢</t>
    <rPh sb="0" eb="1">
      <t>トシ</t>
    </rPh>
    <rPh sb="2" eb="3">
      <t>ヨワイ</t>
    </rPh>
    <phoneticPr fontId="3"/>
  </si>
  <si>
    <t>人 数</t>
    <rPh sb="0" eb="1">
      <t>ヒト</t>
    </rPh>
    <rPh sb="2" eb="3">
      <t>カズ</t>
    </rPh>
    <phoneticPr fontId="3"/>
  </si>
  <si>
    <t>副担任名</t>
    <rPh sb="0" eb="3">
      <t>フクタンニン</t>
    </rPh>
    <rPh sb="3" eb="4">
      <t>メイ</t>
    </rPh>
    <phoneticPr fontId="3"/>
  </si>
  <si>
    <t>備考</t>
    <rPh sb="0" eb="2">
      <t>ビコウ</t>
    </rPh>
    <phoneticPr fontId="3"/>
  </si>
  <si>
    <t>合計</t>
    <rPh sb="0" eb="2">
      <t>ゴウケイ</t>
    </rPh>
    <phoneticPr fontId="3"/>
  </si>
  <si>
    <t>児童数計</t>
    <rPh sb="0" eb="2">
      <t>ジドウ</t>
    </rPh>
    <rPh sb="3" eb="4">
      <t>ケイ</t>
    </rPh>
    <phoneticPr fontId="3"/>
  </si>
  <si>
    <t>※　本表と同様の内容が確認できる書類の提出がある場合は、本クラス編成表の提出を省略することができます。</t>
    <rPh sb="2" eb="3">
      <t>ホン</t>
    </rPh>
    <rPh sb="3" eb="4">
      <t>ヒョウ</t>
    </rPh>
    <rPh sb="5" eb="7">
      <t>ドウヨウ</t>
    </rPh>
    <rPh sb="8" eb="10">
      <t>ナイヨウ</t>
    </rPh>
    <rPh sb="11" eb="13">
      <t>カクニン</t>
    </rPh>
    <rPh sb="16" eb="18">
      <t>ショルイ</t>
    </rPh>
    <rPh sb="19" eb="21">
      <t>テイシュツ</t>
    </rPh>
    <rPh sb="24" eb="26">
      <t>バアイ</t>
    </rPh>
    <rPh sb="28" eb="29">
      <t>ホン</t>
    </rPh>
    <rPh sb="32" eb="34">
      <t>ヘンセイ</t>
    </rPh>
    <rPh sb="34" eb="35">
      <t>ヒョウ</t>
    </rPh>
    <rPh sb="36" eb="38">
      <t>テイシュツ</t>
    </rPh>
    <rPh sb="39" eb="41">
      <t>ショウリャク</t>
    </rPh>
    <phoneticPr fontId="3"/>
  </si>
  <si>
    <t xml:space="preserve"> 　　（ⅰ）小数点第1位が2以下のとき</t>
    <rPh sb="14" eb="16">
      <t>イカ</t>
    </rPh>
    <phoneticPr fontId="1"/>
  </si>
  <si>
    <t>　　　　　小数点第1位を5とする。　　　　　（例）3.4人の場合→3.5人</t>
    <rPh sb="23" eb="24">
      <t>レイ</t>
    </rPh>
    <phoneticPr fontId="1"/>
  </si>
  <si>
    <t>　　　　　小数点第1位を切り上げる。　　　（例）3.6人の場合→4人</t>
    <rPh sb="22" eb="23">
      <t>レイ</t>
    </rPh>
    <phoneticPr fontId="1"/>
  </si>
  <si>
    <t>①</t>
    <phoneticPr fontId="1"/>
  </si>
  <si>
    <t>　　　小数点第1位を四捨五入する。　　　（例）2.3人の場合→2人</t>
    <phoneticPr fontId="1"/>
  </si>
  <si>
    <t xml:space="preserve">  　　45人以下：1人、　</t>
    <phoneticPr fontId="1"/>
  </si>
  <si>
    <t>　　  46人以上150人以下：2人、　　　　</t>
    <phoneticPr fontId="1"/>
  </si>
  <si>
    <t>　　  151人以上240人以下：3人、</t>
    <phoneticPr fontId="1"/>
  </si>
  <si>
    <t>　　　　　小数点第1位を切り捨てる。　　　（例）3.2人の場合→3人</t>
    <phoneticPr fontId="1"/>
  </si>
  <si>
    <t xml:space="preserve"> 　　 241人以上270人以下：3.5人、</t>
    <phoneticPr fontId="1"/>
  </si>
  <si>
    <t>　　 （ⅱ）小数点第1位が3又は4のとき</t>
    <phoneticPr fontId="1"/>
  </si>
  <si>
    <t>　　  271人以上300人以下：5人、</t>
    <phoneticPr fontId="1"/>
  </si>
  <si>
    <t xml:space="preserve"> 　　 301人以上450人以下：6人、</t>
    <phoneticPr fontId="1"/>
  </si>
  <si>
    <t>　　 （ⅲ）小数点第1位が5以上のとき</t>
    <phoneticPr fontId="1"/>
  </si>
  <si>
    <t xml:space="preserve"> 　　 451人以上：8人</t>
    <phoneticPr fontId="1"/>
  </si>
  <si>
    <t>Ⅰ　総括表</t>
    <rPh sb="2" eb="5">
      <t>ソウカツヒョウ</t>
    </rPh>
    <phoneticPr fontId="1"/>
  </si>
  <si>
    <t>所在地</t>
    <rPh sb="0" eb="3">
      <t>ショザイチ</t>
    </rPh>
    <phoneticPr fontId="1"/>
  </si>
  <si>
    <t>名</t>
    <rPh sb="0" eb="1">
      <t>メイ</t>
    </rPh>
    <phoneticPr fontId="1"/>
  </si>
  <si>
    <t>加算・調整項目</t>
    <rPh sb="0" eb="2">
      <t>カサン</t>
    </rPh>
    <rPh sb="3" eb="5">
      <t>チョウセイ</t>
    </rPh>
    <rPh sb="5" eb="7">
      <t>コウモク</t>
    </rPh>
    <phoneticPr fontId="1"/>
  </si>
  <si>
    <t>備考</t>
    <rPh sb="0" eb="2">
      <t>ビコウ</t>
    </rPh>
    <phoneticPr fontId="1"/>
  </si>
  <si>
    <t>基本加算部分</t>
    <rPh sb="0" eb="2">
      <t>キホン</t>
    </rPh>
    <rPh sb="2" eb="4">
      <t>カサン</t>
    </rPh>
    <rPh sb="4" eb="6">
      <t>ブブン</t>
    </rPh>
    <phoneticPr fontId="1"/>
  </si>
  <si>
    <t>副園長・教頭配置加算</t>
    <rPh sb="0" eb="3">
      <t>フクエンチョウ</t>
    </rPh>
    <rPh sb="4" eb="6">
      <t>キョウトウ</t>
    </rPh>
    <rPh sb="6" eb="8">
      <t>ハイチ</t>
    </rPh>
    <rPh sb="8" eb="10">
      <t>カサン</t>
    </rPh>
    <phoneticPr fontId="1"/>
  </si>
  <si>
    <t>3歳児配置改善加算</t>
    <rPh sb="1" eb="2">
      <t>サイ</t>
    </rPh>
    <rPh sb="3" eb="5">
      <t>ハイチ</t>
    </rPh>
    <rPh sb="5" eb="7">
      <t>カイゼン</t>
    </rPh>
    <rPh sb="7" eb="9">
      <t>カサン</t>
    </rPh>
    <phoneticPr fontId="1"/>
  </si>
  <si>
    <t>満3歳児対応加配加算</t>
    <rPh sb="0" eb="1">
      <t>マン</t>
    </rPh>
    <rPh sb="2" eb="3">
      <t>サイ</t>
    </rPh>
    <rPh sb="4" eb="6">
      <t>タイオウ</t>
    </rPh>
    <rPh sb="6" eb="8">
      <t>カハイ</t>
    </rPh>
    <rPh sb="8" eb="10">
      <t>カサン</t>
    </rPh>
    <phoneticPr fontId="1"/>
  </si>
  <si>
    <t>チーム保育加配加算</t>
    <rPh sb="3" eb="5">
      <t>ホイク</t>
    </rPh>
    <rPh sb="5" eb="7">
      <t>カハイ</t>
    </rPh>
    <rPh sb="7" eb="9">
      <t>カサン</t>
    </rPh>
    <phoneticPr fontId="1"/>
  </si>
  <si>
    <t>通園送迎加算</t>
    <rPh sb="0" eb="2">
      <t>ツウエン</t>
    </rPh>
    <rPh sb="2" eb="4">
      <t>ソウゲイ</t>
    </rPh>
    <rPh sb="4" eb="6">
      <t>カサン</t>
    </rPh>
    <phoneticPr fontId="1"/>
  </si>
  <si>
    <t>外部監査費加算</t>
    <rPh sb="0" eb="2">
      <t>ガイブ</t>
    </rPh>
    <rPh sb="2" eb="4">
      <t>カンサ</t>
    </rPh>
    <rPh sb="4" eb="5">
      <t>ヒ</t>
    </rPh>
    <rPh sb="5" eb="7">
      <t>カサン</t>
    </rPh>
    <phoneticPr fontId="1"/>
  </si>
  <si>
    <t>加減調整部分</t>
    <rPh sb="0" eb="2">
      <t>カゲン</t>
    </rPh>
    <rPh sb="2" eb="4">
      <t>チョウセイ</t>
    </rPh>
    <rPh sb="4" eb="6">
      <t>ブブン</t>
    </rPh>
    <phoneticPr fontId="1"/>
  </si>
  <si>
    <t>乗除調整部分</t>
    <rPh sb="0" eb="2">
      <t>ジョウジョ</t>
    </rPh>
    <rPh sb="2" eb="4">
      <t>チョウセイ</t>
    </rPh>
    <rPh sb="4" eb="6">
      <t>ブブン</t>
    </rPh>
    <phoneticPr fontId="1"/>
  </si>
  <si>
    <t>特定加算部分</t>
    <rPh sb="0" eb="2">
      <t>トクテイ</t>
    </rPh>
    <rPh sb="2" eb="4">
      <t>カサン</t>
    </rPh>
    <rPh sb="4" eb="6">
      <t>ブブン</t>
    </rPh>
    <phoneticPr fontId="1"/>
  </si>
  <si>
    <t>主幹教諭等専任加算</t>
    <rPh sb="0" eb="2">
      <t>シュカン</t>
    </rPh>
    <rPh sb="2" eb="4">
      <t>キョウユ</t>
    </rPh>
    <rPh sb="4" eb="5">
      <t>トウ</t>
    </rPh>
    <rPh sb="5" eb="7">
      <t>センニン</t>
    </rPh>
    <rPh sb="7" eb="9">
      <t>カサン</t>
    </rPh>
    <phoneticPr fontId="1"/>
  </si>
  <si>
    <t>子育て支援活動費加算</t>
    <rPh sb="0" eb="2">
      <t>コソダ</t>
    </rPh>
    <rPh sb="3" eb="5">
      <t>シエン</t>
    </rPh>
    <rPh sb="5" eb="7">
      <t>カツドウ</t>
    </rPh>
    <rPh sb="7" eb="8">
      <t>ヒ</t>
    </rPh>
    <rPh sb="8" eb="10">
      <t>カサン</t>
    </rPh>
    <phoneticPr fontId="1"/>
  </si>
  <si>
    <t>療育支援加算</t>
    <rPh sb="0" eb="2">
      <t>リョウイク</t>
    </rPh>
    <rPh sb="2" eb="4">
      <t>シエン</t>
    </rPh>
    <rPh sb="4" eb="6">
      <t>カサン</t>
    </rPh>
    <phoneticPr fontId="1"/>
  </si>
  <si>
    <t>指導充実加配加算</t>
    <rPh sb="0" eb="2">
      <t>シドウ</t>
    </rPh>
    <rPh sb="2" eb="4">
      <t>ジュウジツ</t>
    </rPh>
    <rPh sb="4" eb="6">
      <t>カハイ</t>
    </rPh>
    <rPh sb="6" eb="8">
      <t>カサン</t>
    </rPh>
    <phoneticPr fontId="1"/>
  </si>
  <si>
    <t>事務負担対応加配加算</t>
    <rPh sb="0" eb="2">
      <t>ジム</t>
    </rPh>
    <rPh sb="2" eb="4">
      <t>フタン</t>
    </rPh>
    <rPh sb="4" eb="6">
      <t>タイオウ</t>
    </rPh>
    <rPh sb="6" eb="8">
      <t>カハイ</t>
    </rPh>
    <rPh sb="8" eb="10">
      <t>カサン</t>
    </rPh>
    <phoneticPr fontId="1"/>
  </si>
  <si>
    <t>冷暖房費加算</t>
    <rPh sb="0" eb="3">
      <t>レイダンボウ</t>
    </rPh>
    <rPh sb="3" eb="4">
      <t>ヒ</t>
    </rPh>
    <rPh sb="4" eb="6">
      <t>カサン</t>
    </rPh>
    <phoneticPr fontId="1"/>
  </si>
  <si>
    <t>施設関係者評価加算</t>
    <rPh sb="0" eb="2">
      <t>シセツ</t>
    </rPh>
    <rPh sb="2" eb="5">
      <t>カンケイシャ</t>
    </rPh>
    <rPh sb="5" eb="7">
      <t>ヒョウカ</t>
    </rPh>
    <rPh sb="7" eb="9">
      <t>カサン</t>
    </rPh>
    <phoneticPr fontId="1"/>
  </si>
  <si>
    <t>除雪費加算</t>
    <rPh sb="0" eb="2">
      <t>ジョセツ</t>
    </rPh>
    <rPh sb="2" eb="3">
      <t>ヒ</t>
    </rPh>
    <rPh sb="3" eb="5">
      <t>カサン</t>
    </rPh>
    <phoneticPr fontId="1"/>
  </si>
  <si>
    <t>降灰除去費加算</t>
    <rPh sb="0" eb="2">
      <t>コウハイ</t>
    </rPh>
    <rPh sb="2" eb="4">
      <t>ジョキョ</t>
    </rPh>
    <rPh sb="4" eb="5">
      <t>ヒ</t>
    </rPh>
    <rPh sb="5" eb="7">
      <t>カサン</t>
    </rPh>
    <phoneticPr fontId="1"/>
  </si>
  <si>
    <t>施設機能強化推進費加算</t>
    <rPh sb="0" eb="2">
      <t>シセツ</t>
    </rPh>
    <rPh sb="2" eb="4">
      <t>キノウ</t>
    </rPh>
    <rPh sb="4" eb="6">
      <t>キョウカ</t>
    </rPh>
    <rPh sb="6" eb="8">
      <t>スイシン</t>
    </rPh>
    <rPh sb="8" eb="9">
      <t>ヒ</t>
    </rPh>
    <rPh sb="9" eb="11">
      <t>カサン</t>
    </rPh>
    <phoneticPr fontId="1"/>
  </si>
  <si>
    <t>小学校接続加算</t>
    <rPh sb="0" eb="3">
      <t>ショウガッコウ</t>
    </rPh>
    <rPh sb="3" eb="5">
      <t>セツゾク</t>
    </rPh>
    <rPh sb="5" eb="7">
      <t>カサン</t>
    </rPh>
    <phoneticPr fontId="1"/>
  </si>
  <si>
    <t>栄養管理加算</t>
    <rPh sb="0" eb="2">
      <t>エイヨウ</t>
    </rPh>
    <rPh sb="2" eb="4">
      <t>カンリ</t>
    </rPh>
    <rPh sb="4" eb="6">
      <t>カサン</t>
    </rPh>
    <phoneticPr fontId="1"/>
  </si>
  <si>
    <t>第三者評価受審加算</t>
    <rPh sb="0" eb="3">
      <t>ダイサンシャ</t>
    </rPh>
    <rPh sb="3" eb="5">
      <t>ヒョウカ</t>
    </rPh>
    <rPh sb="5" eb="7">
      <t>ジュシン</t>
    </rPh>
    <rPh sb="7" eb="9">
      <t>カサン</t>
    </rPh>
    <phoneticPr fontId="1"/>
  </si>
  <si>
    <t>Ⅱ　個票</t>
    <rPh sb="2" eb="4">
      <t>コヒョウ</t>
    </rPh>
    <phoneticPr fontId="1"/>
  </si>
  <si>
    <t>2　副園長・教頭配置加算</t>
    <rPh sb="2" eb="5">
      <t>フクエンチョウ</t>
    </rPh>
    <rPh sb="6" eb="8">
      <t>キョウトウ</t>
    </rPh>
    <rPh sb="8" eb="10">
      <t>ハイチ</t>
    </rPh>
    <rPh sb="10" eb="12">
      <t>カサン</t>
    </rPh>
    <phoneticPr fontId="1"/>
  </si>
  <si>
    <t>添付書類</t>
    <rPh sb="0" eb="2">
      <t>テンプ</t>
    </rPh>
    <rPh sb="2" eb="4">
      <t>ショルイ</t>
    </rPh>
    <phoneticPr fontId="1"/>
  </si>
  <si>
    <t>3　3歳児配置改善加算</t>
    <rPh sb="3" eb="5">
      <t>サイジ</t>
    </rPh>
    <rPh sb="5" eb="7">
      <t>ハイチ</t>
    </rPh>
    <rPh sb="7" eb="9">
      <t>カイゼン</t>
    </rPh>
    <rPh sb="9" eb="11">
      <t>カサン</t>
    </rPh>
    <phoneticPr fontId="1"/>
  </si>
  <si>
    <t>添付　□</t>
    <rPh sb="0" eb="2">
      <t>テンプ</t>
    </rPh>
    <phoneticPr fontId="1"/>
  </si>
  <si>
    <t>※　送迎の実施方法（運転手を雇用して実施又は業務委託して実施等）は問わない。</t>
    <rPh sb="2" eb="4">
      <t>ソウゲイ</t>
    </rPh>
    <rPh sb="5" eb="7">
      <t>ジッシ</t>
    </rPh>
    <rPh sb="7" eb="9">
      <t>ホウホウ</t>
    </rPh>
    <rPh sb="10" eb="13">
      <t>ウンテンシュ</t>
    </rPh>
    <rPh sb="14" eb="16">
      <t>コヨウ</t>
    </rPh>
    <rPh sb="18" eb="20">
      <t>ジッシ</t>
    </rPh>
    <rPh sb="20" eb="21">
      <t>マタ</t>
    </rPh>
    <rPh sb="22" eb="24">
      <t>ギョウム</t>
    </rPh>
    <rPh sb="24" eb="26">
      <t>イタク</t>
    </rPh>
    <rPh sb="28" eb="30">
      <t>ジッシ</t>
    </rPh>
    <rPh sb="30" eb="31">
      <t>トウ</t>
    </rPh>
    <rPh sb="33" eb="34">
      <t>ト</t>
    </rPh>
    <phoneticPr fontId="1"/>
  </si>
  <si>
    <t>5月</t>
  </si>
  <si>
    <t>6月</t>
  </si>
  <si>
    <t>7月</t>
  </si>
  <si>
    <t>8月</t>
  </si>
  <si>
    <t>9月</t>
  </si>
  <si>
    <t>10月</t>
  </si>
  <si>
    <t>11月</t>
  </si>
  <si>
    <t>12月</t>
  </si>
  <si>
    <t>1月</t>
  </si>
  <si>
    <t>2月</t>
  </si>
  <si>
    <t>3月</t>
  </si>
  <si>
    <t>年平均在所率</t>
    <rPh sb="0" eb="3">
      <t>ネンヘイキン</t>
    </rPh>
    <rPh sb="3" eb="5">
      <t>ザイショ</t>
    </rPh>
    <rPh sb="5" eb="6">
      <t>リツ</t>
    </rPh>
    <phoneticPr fontId="1"/>
  </si>
  <si>
    <t>月初日在籍子ども数</t>
    <rPh sb="0" eb="1">
      <t>ツキ</t>
    </rPh>
    <rPh sb="1" eb="3">
      <t>ショニチ</t>
    </rPh>
    <rPh sb="3" eb="5">
      <t>ザイセキ</t>
    </rPh>
    <rPh sb="5" eb="6">
      <t>コ</t>
    </rPh>
    <rPh sb="8" eb="9">
      <t>スウ</t>
    </rPh>
    <phoneticPr fontId="1"/>
  </si>
  <si>
    <t>月初日利用定員</t>
    <rPh sb="0" eb="1">
      <t>ツキ</t>
    </rPh>
    <rPh sb="1" eb="3">
      <t>ショニチ</t>
    </rPh>
    <rPh sb="3" eb="5">
      <t>リヨウ</t>
    </rPh>
    <rPh sb="5" eb="7">
      <t>テイイン</t>
    </rPh>
    <phoneticPr fontId="1"/>
  </si>
  <si>
    <t>特別児童扶養手当支給対象児童</t>
    <rPh sb="0" eb="2">
      <t>トクベツ</t>
    </rPh>
    <rPh sb="2" eb="4">
      <t>ジドウ</t>
    </rPh>
    <rPh sb="4" eb="6">
      <t>フヨウ</t>
    </rPh>
    <rPh sb="6" eb="8">
      <t>テアテ</t>
    </rPh>
    <rPh sb="8" eb="10">
      <t>シキュウ</t>
    </rPh>
    <rPh sb="10" eb="12">
      <t>タイショウ</t>
    </rPh>
    <rPh sb="12" eb="14">
      <t>ジドウ</t>
    </rPh>
    <phoneticPr fontId="1"/>
  </si>
  <si>
    <t>○</t>
    <phoneticPr fontId="1"/>
  </si>
  <si>
    <t>（あて先）札幌市長</t>
    <rPh sb="3" eb="4">
      <t>サキ</t>
    </rPh>
    <rPh sb="5" eb="9">
      <t>サッポロシチョウ</t>
    </rPh>
    <phoneticPr fontId="1"/>
  </si>
  <si>
    <t>月現在</t>
    <rPh sb="0" eb="1">
      <t>ガツ</t>
    </rPh>
    <rPh sb="1" eb="3">
      <t>ゲンザイ</t>
    </rPh>
    <phoneticPr fontId="1"/>
  </si>
  <si>
    <t>○</t>
  </si>
  <si>
    <t>別途、所定の様式により申請する。</t>
    <rPh sb="0" eb="2">
      <t>ベット</t>
    </rPh>
    <rPh sb="3" eb="5">
      <t>ショテイ</t>
    </rPh>
    <rPh sb="6" eb="8">
      <t>ヨウシキ</t>
    </rPh>
    <rPh sb="11" eb="13">
      <t>シンセイ</t>
    </rPh>
    <phoneticPr fontId="1"/>
  </si>
  <si>
    <t>②　特別児童扶養手当を受給している場合は特別児童扶養手当受給者証の写し（期限が有効なものに限る。）</t>
    <rPh sb="2" eb="4">
      <t>トクベツ</t>
    </rPh>
    <rPh sb="4" eb="6">
      <t>ジドウ</t>
    </rPh>
    <rPh sb="6" eb="8">
      <t>フヨウ</t>
    </rPh>
    <rPh sb="8" eb="10">
      <t>テアテ</t>
    </rPh>
    <rPh sb="11" eb="13">
      <t>ジュキュウ</t>
    </rPh>
    <rPh sb="17" eb="19">
      <t>バアイ</t>
    </rPh>
    <rPh sb="20" eb="22">
      <t>トクベツ</t>
    </rPh>
    <rPh sb="22" eb="24">
      <t>ジドウ</t>
    </rPh>
    <rPh sb="24" eb="26">
      <t>フヨウ</t>
    </rPh>
    <rPh sb="26" eb="28">
      <t>テアテ</t>
    </rPh>
    <rPh sb="28" eb="31">
      <t>ジュキュウシャ</t>
    </rPh>
    <rPh sb="31" eb="32">
      <t>ショウ</t>
    </rPh>
    <rPh sb="33" eb="34">
      <t>ウツ</t>
    </rPh>
    <rPh sb="36" eb="38">
      <t>キゲン</t>
    </rPh>
    <rPh sb="39" eb="41">
      <t>ユウコウ</t>
    </rPh>
    <rPh sb="45" eb="46">
      <t>カギ</t>
    </rPh>
    <phoneticPr fontId="1"/>
  </si>
  <si>
    <t>月</t>
    <rPh sb="0" eb="1">
      <t>ガツ</t>
    </rPh>
    <phoneticPr fontId="1"/>
  </si>
  <si>
    <t>初日利用児童のうち満3歳児が1人以上となった最初の月</t>
    <rPh sb="0" eb="2">
      <t>ショニチ</t>
    </rPh>
    <rPh sb="2" eb="4">
      <t>リヨウ</t>
    </rPh>
    <rPh sb="4" eb="6">
      <t>ジドウ</t>
    </rPh>
    <rPh sb="9" eb="10">
      <t>マン</t>
    </rPh>
    <rPh sb="11" eb="12">
      <t>サイ</t>
    </rPh>
    <rPh sb="12" eb="13">
      <t>ジ</t>
    </rPh>
    <rPh sb="15" eb="18">
      <t>ニンイジョウ</t>
    </rPh>
    <rPh sb="22" eb="24">
      <t>サイショ</t>
    </rPh>
    <rPh sb="25" eb="26">
      <t>ツキ</t>
    </rPh>
    <phoneticPr fontId="1"/>
  </si>
  <si>
    <t>事務職員配置加算</t>
    <rPh sb="0" eb="2">
      <t>ジム</t>
    </rPh>
    <rPh sb="2" eb="4">
      <t>ショクイン</t>
    </rPh>
    <rPh sb="4" eb="6">
      <t>ハイチ</t>
    </rPh>
    <rPh sb="6" eb="8">
      <t>カサン</t>
    </rPh>
    <phoneticPr fontId="1"/>
  </si>
  <si>
    <t>No.</t>
    <phoneticPr fontId="1"/>
  </si>
  <si>
    <t>施設長名</t>
    <rPh sb="0" eb="3">
      <t>シセツチョウ</t>
    </rPh>
    <rPh sb="3" eb="4">
      <t>メイ</t>
    </rPh>
    <phoneticPr fontId="1"/>
  </si>
  <si>
    <t>3月加算</t>
    <rPh sb="1" eb="2">
      <t>ガツ</t>
    </rPh>
    <rPh sb="2" eb="4">
      <t>カサン</t>
    </rPh>
    <phoneticPr fontId="1"/>
  </si>
  <si>
    <t>講師配置加算</t>
    <rPh sb="0" eb="2">
      <t>コウシ</t>
    </rPh>
    <rPh sb="2" eb="4">
      <t>ハイチ</t>
    </rPh>
    <rPh sb="4" eb="6">
      <t>カサン</t>
    </rPh>
    <phoneticPr fontId="1"/>
  </si>
  <si>
    <t>2級地</t>
    <rPh sb="1" eb="2">
      <t>キュウ</t>
    </rPh>
    <rPh sb="2" eb="3">
      <t>チ</t>
    </rPh>
    <phoneticPr fontId="1"/>
  </si>
  <si>
    <t>西暦</t>
    <rPh sb="0" eb="2">
      <t>セイレキ</t>
    </rPh>
    <phoneticPr fontId="1"/>
  </si>
  <si>
    <t>年</t>
    <rPh sb="0" eb="1">
      <t>ネン</t>
    </rPh>
    <phoneticPr fontId="1"/>
  </si>
  <si>
    <t>No.</t>
    <phoneticPr fontId="1"/>
  </si>
  <si>
    <t>札幌市は対象外です。</t>
    <rPh sb="0" eb="3">
      <t>サッポロシ</t>
    </rPh>
    <rPh sb="4" eb="7">
      <t>タイショウガイ</t>
    </rPh>
    <phoneticPr fontId="1"/>
  </si>
  <si>
    <t>その他</t>
    <rPh sb="2" eb="3">
      <t>タ</t>
    </rPh>
    <phoneticPr fontId="1"/>
  </si>
  <si>
    <t>特児</t>
    <rPh sb="0" eb="2">
      <t>トクジ</t>
    </rPh>
    <phoneticPr fontId="1"/>
  </si>
  <si>
    <t>療育</t>
    <rPh sb="0" eb="2">
      <t>リョウイク</t>
    </rPh>
    <phoneticPr fontId="1"/>
  </si>
  <si>
    <t>選択</t>
    <rPh sb="0" eb="2">
      <t>センタク</t>
    </rPh>
    <phoneticPr fontId="1"/>
  </si>
  <si>
    <t>月</t>
    <rPh sb="0" eb="1">
      <t>ツキ</t>
    </rPh>
    <phoneticPr fontId="1"/>
  </si>
  <si>
    <t>チーム</t>
    <phoneticPr fontId="1"/>
  </si>
  <si>
    <t>給食</t>
    <rPh sb="0" eb="2">
      <t>キュウショク</t>
    </rPh>
    <phoneticPr fontId="1"/>
  </si>
  <si>
    <t>②</t>
    <phoneticPr fontId="1"/>
  </si>
  <si>
    <t>副園長加算</t>
    <rPh sb="0" eb="3">
      <t>フクエンチョウ</t>
    </rPh>
    <rPh sb="3" eb="5">
      <t>カサン</t>
    </rPh>
    <phoneticPr fontId="1"/>
  </si>
  <si>
    <t>教諭（発令有）</t>
    <rPh sb="0" eb="2">
      <t>キョウユ</t>
    </rPh>
    <rPh sb="3" eb="5">
      <t>ハツレイ</t>
    </rPh>
    <rPh sb="5" eb="6">
      <t>アリ</t>
    </rPh>
    <phoneticPr fontId="1"/>
  </si>
  <si>
    <t>教諭（発令無）</t>
    <rPh sb="0" eb="2">
      <t>キョウユ</t>
    </rPh>
    <rPh sb="3" eb="5">
      <t>ハツレイ</t>
    </rPh>
    <rPh sb="5" eb="6">
      <t>ナシ</t>
    </rPh>
    <phoneticPr fontId="1"/>
  </si>
  <si>
    <t>常勤</t>
    <rPh sb="0" eb="2">
      <t>ジョウキン</t>
    </rPh>
    <phoneticPr fontId="1"/>
  </si>
  <si>
    <t>非常勤</t>
    <rPh sb="0" eb="3">
      <t>ヒジョウキン</t>
    </rPh>
    <phoneticPr fontId="1"/>
  </si>
  <si>
    <t>基準日</t>
    <rPh sb="0" eb="3">
      <t>キジュンビ</t>
    </rPh>
    <phoneticPr fontId="1"/>
  </si>
  <si>
    <t>②職員状況</t>
    <rPh sb="1" eb="3">
      <t>ショクイン</t>
    </rPh>
    <rPh sb="3" eb="5">
      <t>ジョウキョウ</t>
    </rPh>
    <phoneticPr fontId="1"/>
  </si>
  <si>
    <t>○</t>
    <phoneticPr fontId="1"/>
  </si>
  <si>
    <t>判定</t>
    <rPh sb="0" eb="2">
      <t>ハンテイ</t>
    </rPh>
    <phoneticPr fontId="1"/>
  </si>
  <si>
    <t>有給</t>
    <rPh sb="0" eb="2">
      <t>ユウキュウ</t>
    </rPh>
    <phoneticPr fontId="1"/>
  </si>
  <si>
    <t>無給</t>
    <rPh sb="0" eb="2">
      <t>ムキュウ</t>
    </rPh>
    <phoneticPr fontId="1"/>
  </si>
  <si>
    <t>&lt;常勤換算&gt;</t>
    <rPh sb="1" eb="3">
      <t>ジョウキン</t>
    </rPh>
    <rPh sb="3" eb="5">
      <t>カンサン</t>
    </rPh>
    <phoneticPr fontId="1"/>
  </si>
  <si>
    <t>初日時点の給与状況</t>
    <rPh sb="0" eb="2">
      <t>ショニチ</t>
    </rPh>
    <rPh sb="2" eb="4">
      <t>ジテン</t>
    </rPh>
    <rPh sb="5" eb="7">
      <t>キュウヨ</t>
    </rPh>
    <rPh sb="7" eb="9">
      <t>ジョウキョウ</t>
    </rPh>
    <phoneticPr fontId="1"/>
  </si>
  <si>
    <t>（計）</t>
    <rPh sb="1" eb="2">
      <t>ケイ</t>
    </rPh>
    <phoneticPr fontId="1"/>
  </si>
  <si>
    <t>年齢別配置基準</t>
    <rPh sb="0" eb="2">
      <t>ネンレイ</t>
    </rPh>
    <rPh sb="2" eb="3">
      <t>ベツ</t>
    </rPh>
    <rPh sb="3" eb="5">
      <t>ハイチ</t>
    </rPh>
    <rPh sb="5" eb="7">
      <t>キジュン</t>
    </rPh>
    <phoneticPr fontId="1"/>
  </si>
  <si>
    <t>３歳児配置改善加算</t>
    <rPh sb="1" eb="3">
      <t>サイジ</t>
    </rPh>
    <rPh sb="3" eb="5">
      <t>ハイチ</t>
    </rPh>
    <rPh sb="5" eb="7">
      <t>カイゼン</t>
    </rPh>
    <rPh sb="7" eb="9">
      <t>カサン</t>
    </rPh>
    <phoneticPr fontId="1"/>
  </si>
  <si>
    <t>満３歳児対応加配加算</t>
    <rPh sb="0" eb="1">
      <t>マン</t>
    </rPh>
    <rPh sb="2" eb="4">
      <t>サイジ</t>
    </rPh>
    <rPh sb="4" eb="6">
      <t>タイオウ</t>
    </rPh>
    <rPh sb="6" eb="8">
      <t>カハイ</t>
    </rPh>
    <rPh sb="8" eb="10">
      <t>カサン</t>
    </rPh>
    <phoneticPr fontId="1"/>
  </si>
  <si>
    <t>常勤職員の１日当たりの勤務時間数</t>
    <rPh sb="0" eb="2">
      <t>ジョウキン</t>
    </rPh>
    <rPh sb="2" eb="4">
      <t>ショクイン</t>
    </rPh>
    <rPh sb="6" eb="7">
      <t>ニチ</t>
    </rPh>
    <rPh sb="7" eb="8">
      <t>ア</t>
    </rPh>
    <rPh sb="11" eb="13">
      <t>キンム</t>
    </rPh>
    <rPh sb="13" eb="15">
      <t>ジカン</t>
    </rPh>
    <rPh sb="15" eb="16">
      <t>スウ</t>
    </rPh>
    <phoneticPr fontId="1"/>
  </si>
  <si>
    <t>×</t>
    <phoneticPr fontId="1"/>
  </si>
  <si>
    <t>項目</t>
    <rPh sb="0" eb="2">
      <t>コウモク</t>
    </rPh>
    <phoneticPr fontId="1"/>
  </si>
  <si>
    <t>チーム保育加配加算</t>
    <rPh sb="3" eb="9">
      <t>ホイクカハイカサン</t>
    </rPh>
    <phoneticPr fontId="1"/>
  </si>
  <si>
    <t>【幼稚園】</t>
    <rPh sb="1" eb="4">
      <t>ヨウチエン</t>
    </rPh>
    <phoneticPr fontId="1"/>
  </si>
  <si>
    <t>５月</t>
    <rPh sb="1" eb="2">
      <t>ガツ</t>
    </rPh>
    <phoneticPr fontId="1"/>
  </si>
  <si>
    <t>６月</t>
    <rPh sb="1" eb="2">
      <t>ガツ</t>
    </rPh>
    <phoneticPr fontId="1"/>
  </si>
  <si>
    <t>７月</t>
  </si>
  <si>
    <t>８月</t>
  </si>
  <si>
    <t>９月</t>
  </si>
  <si>
    <t>１０月</t>
  </si>
  <si>
    <t>１１月</t>
  </si>
  <si>
    <t>１２月</t>
  </si>
  <si>
    <t>１月</t>
  </si>
  <si>
    <t>２月</t>
  </si>
  <si>
    <t>３月</t>
    <phoneticPr fontId="1"/>
  </si>
  <si>
    <t>月時点</t>
    <rPh sb="0" eb="1">
      <t>ガツ</t>
    </rPh>
    <rPh sb="1" eb="3">
      <t>ジテン</t>
    </rPh>
    <phoneticPr fontId="1"/>
  </si>
  <si>
    <t>申請届出状況</t>
    <rPh sb="0" eb="2">
      <t>シンセイ</t>
    </rPh>
    <rPh sb="2" eb="4">
      <t>トドケデ</t>
    </rPh>
    <rPh sb="4" eb="6">
      <t>ジョウキョウ</t>
    </rPh>
    <phoneticPr fontId="1"/>
  </si>
  <si>
    <t>≪作成にあたって≫</t>
    <rPh sb="1" eb="3">
      <t>サクセイ</t>
    </rPh>
    <phoneticPr fontId="1"/>
  </si>
  <si>
    <t>≪施設状況の記載≫</t>
    <rPh sb="1" eb="3">
      <t>シセツ</t>
    </rPh>
    <rPh sb="3" eb="5">
      <t>ジョウキョウ</t>
    </rPh>
    <rPh sb="6" eb="8">
      <t>キサイ</t>
    </rPh>
    <phoneticPr fontId="1"/>
  </si>
  <si>
    <t>１日当たりの（正規）教育時間数</t>
    <rPh sb="1" eb="2">
      <t>ニチ</t>
    </rPh>
    <rPh sb="2" eb="3">
      <t>ア</t>
    </rPh>
    <rPh sb="7" eb="9">
      <t>セイキ</t>
    </rPh>
    <rPh sb="10" eb="12">
      <t>キョウイク</t>
    </rPh>
    <rPh sb="12" eb="14">
      <t>ジカン</t>
    </rPh>
    <rPh sb="14" eb="15">
      <t>スウ</t>
    </rPh>
    <phoneticPr fontId="1"/>
  </si>
  <si>
    <t>申請の有無</t>
    <rPh sb="0" eb="2">
      <t>シンセイ</t>
    </rPh>
    <rPh sb="3" eb="5">
      <t>ウム</t>
    </rPh>
    <phoneticPr fontId="1"/>
  </si>
  <si>
    <t>①　各月毎に上から順に埋めてください。最終的に、3月時点で4～3月の全加算状況が埋まるようにご作成ください。例）12月時点→4～12月加算情報</t>
    <rPh sb="2" eb="4">
      <t>カクツキ</t>
    </rPh>
    <rPh sb="4" eb="5">
      <t>ゴト</t>
    </rPh>
    <rPh sb="6" eb="7">
      <t>ウエ</t>
    </rPh>
    <rPh sb="9" eb="10">
      <t>ジュン</t>
    </rPh>
    <rPh sb="11" eb="12">
      <t>ウ</t>
    </rPh>
    <rPh sb="19" eb="22">
      <t>サイシュウテキ</t>
    </rPh>
    <rPh sb="25" eb="26">
      <t>ガツ</t>
    </rPh>
    <rPh sb="26" eb="28">
      <t>ジテン</t>
    </rPh>
    <rPh sb="32" eb="33">
      <t>ガツ</t>
    </rPh>
    <rPh sb="34" eb="37">
      <t>ゼンカサン</t>
    </rPh>
    <rPh sb="37" eb="39">
      <t>ジョウキョウ</t>
    </rPh>
    <rPh sb="40" eb="41">
      <t>ウ</t>
    </rPh>
    <rPh sb="47" eb="49">
      <t>サクセイ</t>
    </rPh>
    <rPh sb="54" eb="55">
      <t>レイ</t>
    </rPh>
    <rPh sb="58" eb="59">
      <t>ガツ</t>
    </rPh>
    <rPh sb="59" eb="61">
      <t>ジテン</t>
    </rPh>
    <rPh sb="66" eb="67">
      <t>ガツ</t>
    </rPh>
    <rPh sb="67" eb="69">
      <t>カサン</t>
    </rPh>
    <rPh sb="69" eb="71">
      <t>ジョウホウ</t>
    </rPh>
    <phoneticPr fontId="1"/>
  </si>
  <si>
    <t>賃金改善</t>
    <rPh sb="0" eb="2">
      <t>チンギン</t>
    </rPh>
    <rPh sb="2" eb="4">
      <t>カイゼン</t>
    </rPh>
    <phoneticPr fontId="1"/>
  </si>
  <si>
    <t>４月</t>
    <rPh sb="1" eb="2">
      <t>ガツ</t>
    </rPh>
    <phoneticPr fontId="1"/>
  </si>
  <si>
    <t>処遇基礎</t>
    <rPh sb="0" eb="2">
      <t>ショグウ</t>
    </rPh>
    <rPh sb="2" eb="4">
      <t>キソ</t>
    </rPh>
    <phoneticPr fontId="1"/>
  </si>
  <si>
    <t>年齢別・処遇Ⅱ</t>
    <rPh sb="0" eb="2">
      <t>ネンレイ</t>
    </rPh>
    <rPh sb="2" eb="3">
      <t>ベツ</t>
    </rPh>
    <rPh sb="4" eb="6">
      <t>ショグウ</t>
    </rPh>
    <phoneticPr fontId="1"/>
  </si>
  <si>
    <t>調理員</t>
    <rPh sb="0" eb="3">
      <t>チョウリイン</t>
    </rPh>
    <phoneticPr fontId="1"/>
  </si>
  <si>
    <t>正職</t>
    <rPh sb="0" eb="2">
      <t>セイショク</t>
    </rPh>
    <phoneticPr fontId="1"/>
  </si>
  <si>
    <t>臨職</t>
    <rPh sb="0" eb="2">
      <t>リンショク</t>
    </rPh>
    <phoneticPr fontId="1"/>
  </si>
  <si>
    <t>↓下記は印刷不要です</t>
    <rPh sb="1" eb="3">
      <t>カキ</t>
    </rPh>
    <rPh sb="4" eb="6">
      <t>インサツ</t>
    </rPh>
    <rPh sb="6" eb="8">
      <t>フヨウ</t>
    </rPh>
    <phoneticPr fontId="1"/>
  </si>
  <si>
    <t>選択</t>
    <rPh sb="0" eb="2">
      <t>センタク</t>
    </rPh>
    <phoneticPr fontId="1"/>
  </si>
  <si>
    <t>Ver.</t>
    <phoneticPr fontId="1"/>
  </si>
  <si>
    <t>変更項目</t>
    <rPh sb="0" eb="2">
      <t>ヘンコウ</t>
    </rPh>
    <rPh sb="2" eb="4">
      <t>コウモク</t>
    </rPh>
    <phoneticPr fontId="1"/>
  </si>
  <si>
    <t>初期</t>
    <rPh sb="0" eb="2">
      <t>ショキ</t>
    </rPh>
    <phoneticPr fontId="1"/>
  </si>
  <si>
    <t>申請する</t>
    <rPh sb="0" eb="2">
      <t>シンセイ</t>
    </rPh>
    <phoneticPr fontId="1"/>
  </si>
  <si>
    <t>申請しない</t>
    <rPh sb="0" eb="2">
      <t>シンセイ</t>
    </rPh>
    <phoneticPr fontId="1"/>
  </si>
  <si>
    <t>申請</t>
    <rPh sb="0" eb="2">
      <t>シンセイ</t>
    </rPh>
    <phoneticPr fontId="1"/>
  </si>
  <si>
    <t>（判定）</t>
    <rPh sb="1" eb="3">
      <t>ハンテイ</t>
    </rPh>
    <phoneticPr fontId="1"/>
  </si>
  <si>
    <t>申請の有無</t>
    <rPh sb="0" eb="2">
      <t>シンセイ</t>
    </rPh>
    <rPh sb="3" eb="5">
      <t>ウム</t>
    </rPh>
    <phoneticPr fontId="1"/>
  </si>
  <si>
    <t>項目</t>
    <rPh sb="0" eb="2">
      <t>コウモク</t>
    </rPh>
    <phoneticPr fontId="1"/>
  </si>
  <si>
    <t>該当の有無</t>
    <rPh sb="0" eb="2">
      <t>ガイトウ</t>
    </rPh>
    <rPh sb="3" eb="5">
      <t>ウム</t>
    </rPh>
    <phoneticPr fontId="1"/>
  </si>
  <si>
    <t>×</t>
    <phoneticPr fontId="1"/>
  </si>
  <si>
    <t>本務・兼務</t>
    <rPh sb="0" eb="2">
      <t>ホンム</t>
    </rPh>
    <rPh sb="3" eb="5">
      <t>ケンム</t>
    </rPh>
    <phoneticPr fontId="1"/>
  </si>
  <si>
    <t>本務</t>
    <rPh sb="0" eb="2">
      <t>ホンム</t>
    </rPh>
    <phoneticPr fontId="1"/>
  </si>
  <si>
    <t>兼務</t>
    <rPh sb="0" eb="2">
      <t>ケンム</t>
    </rPh>
    <phoneticPr fontId="1"/>
  </si>
  <si>
    <t>加算要件</t>
    <rPh sb="0" eb="2">
      <t>カサン</t>
    </rPh>
    <rPh sb="2" eb="4">
      <t>ヨウケン</t>
    </rPh>
    <phoneticPr fontId="1"/>
  </si>
  <si>
    <t>・「該当の有無」について、該当する場合は「○」を選択すること。</t>
    <rPh sb="2" eb="4">
      <t>ガイトウ</t>
    </rPh>
    <rPh sb="5" eb="7">
      <t>ウム</t>
    </rPh>
    <phoneticPr fontId="1"/>
  </si>
  <si>
    <t>・「申請の有無」で申請するを選択し、加算要件等を全て満たしたうえで、添付書類を漏れなく添付した場合にのみ加算する。</t>
    <rPh sb="2" eb="4">
      <t>シンセイ</t>
    </rPh>
    <rPh sb="5" eb="7">
      <t>ウム</t>
    </rPh>
    <rPh sb="9" eb="11">
      <t>シンセイ</t>
    </rPh>
    <rPh sb="14" eb="16">
      <t>センタク</t>
    </rPh>
    <rPh sb="18" eb="20">
      <t>カサン</t>
    </rPh>
    <rPh sb="20" eb="22">
      <t>ヨウケン</t>
    </rPh>
    <rPh sb="22" eb="23">
      <t>トウ</t>
    </rPh>
    <rPh sb="24" eb="25">
      <t>スベ</t>
    </rPh>
    <rPh sb="34" eb="36">
      <t>テンプ</t>
    </rPh>
    <rPh sb="36" eb="38">
      <t>ショルイ</t>
    </rPh>
    <rPh sb="39" eb="40">
      <t>モ</t>
    </rPh>
    <rPh sb="43" eb="45">
      <t>テンプ</t>
    </rPh>
    <rPh sb="47" eb="49">
      <t>バアイ</t>
    </rPh>
    <rPh sb="52" eb="54">
      <t>カサン</t>
    </rPh>
    <phoneticPr fontId="1"/>
  </si>
  <si>
    <t>利用定員：</t>
    <rPh sb="0" eb="2">
      <t>リヨウ</t>
    </rPh>
    <rPh sb="2" eb="4">
      <t>テイイン</t>
    </rPh>
    <phoneticPr fontId="1"/>
  </si>
  <si>
    <t>②</t>
    <phoneticPr fontId="1"/>
  </si>
  <si>
    <t>添付書類</t>
    <rPh sb="0" eb="2">
      <t>テンプ</t>
    </rPh>
    <rPh sb="2" eb="4">
      <t>ショルイ</t>
    </rPh>
    <phoneticPr fontId="1"/>
  </si>
  <si>
    <t>※　学級担任は常勤専任である必要があります。</t>
    <rPh sb="2" eb="4">
      <t>ガッキュウ</t>
    </rPh>
    <rPh sb="4" eb="6">
      <t>タンニン</t>
    </rPh>
    <rPh sb="7" eb="9">
      <t>ジョウキン</t>
    </rPh>
    <rPh sb="9" eb="11">
      <t>センニン</t>
    </rPh>
    <rPh sb="14" eb="16">
      <t>ヒツヨウ</t>
    </rPh>
    <phoneticPr fontId="1"/>
  </si>
  <si>
    <t>※　年齢の高いクラス（年長）から記入してください。</t>
    <rPh sb="2" eb="4">
      <t>ネンレイ</t>
    </rPh>
    <rPh sb="5" eb="6">
      <t>タカ</t>
    </rPh>
    <rPh sb="11" eb="13">
      <t>ネンチョウ</t>
    </rPh>
    <rPh sb="16" eb="18">
      <t>キニュウ</t>
    </rPh>
    <phoneticPr fontId="3"/>
  </si>
  <si>
    <t>※　用紙が足りない場合はコピーしてください。</t>
    <rPh sb="2" eb="4">
      <t>ヨウシ</t>
    </rPh>
    <rPh sb="5" eb="6">
      <t>タ</t>
    </rPh>
    <rPh sb="9" eb="11">
      <t>バアイ</t>
    </rPh>
    <phoneticPr fontId="3"/>
  </si>
  <si>
    <t>申請人数</t>
    <rPh sb="0" eb="2">
      <t>シンセイ</t>
    </rPh>
    <rPh sb="2" eb="4">
      <t>ニンズウ</t>
    </rPh>
    <phoneticPr fontId="1"/>
  </si>
  <si>
    <t>4月</t>
    <rPh sb="1" eb="2">
      <t>ガツ</t>
    </rPh>
    <phoneticPr fontId="1"/>
  </si>
  <si>
    <t>不足教員数</t>
    <rPh sb="0" eb="2">
      <t>フソク</t>
    </rPh>
    <rPh sb="2" eb="4">
      <t>キョウイン</t>
    </rPh>
    <rPh sb="4" eb="5">
      <t>スウ</t>
    </rPh>
    <phoneticPr fontId="1"/>
  </si>
  <si>
    <t>年</t>
    <rPh sb="0" eb="1">
      <t>ネン</t>
    </rPh>
    <phoneticPr fontId="1"/>
  </si>
  <si>
    <t>月</t>
    <rPh sb="0" eb="1">
      <t>ガツ</t>
    </rPh>
    <phoneticPr fontId="1"/>
  </si>
  <si>
    <t>※　利用定員は必要に応じて上書きすること(青色セル)。</t>
    <rPh sb="2" eb="4">
      <t>リヨウ</t>
    </rPh>
    <rPh sb="4" eb="6">
      <t>テイイン</t>
    </rPh>
    <rPh sb="7" eb="9">
      <t>ヒツヨウ</t>
    </rPh>
    <rPh sb="10" eb="11">
      <t>オウ</t>
    </rPh>
    <rPh sb="13" eb="15">
      <t>ウワガ</t>
    </rPh>
    <rPh sb="21" eb="23">
      <t>アオイロ</t>
    </rPh>
    <phoneticPr fontId="1"/>
  </si>
  <si>
    <t>※　西暦で入力すること</t>
    <rPh sb="2" eb="4">
      <t>セイレキ</t>
    </rPh>
    <rPh sb="5" eb="7">
      <t>ニュウリョク</t>
    </rPh>
    <phoneticPr fontId="1"/>
  </si>
  <si>
    <t>代替教員数算出</t>
    <rPh sb="0" eb="2">
      <t>ダイタイ</t>
    </rPh>
    <rPh sb="2" eb="4">
      <t>キョウイン</t>
    </rPh>
    <rPh sb="4" eb="5">
      <t>スウ</t>
    </rPh>
    <rPh sb="5" eb="7">
      <t>サンシュツ</t>
    </rPh>
    <phoneticPr fontId="1"/>
  </si>
  <si>
    <t>時間数</t>
    <rPh sb="0" eb="3">
      <t>ジカンスウ</t>
    </rPh>
    <phoneticPr fontId="1"/>
  </si>
  <si>
    <t>時間</t>
    <rPh sb="0" eb="2">
      <t>ジカン</t>
    </rPh>
    <phoneticPr fontId="1"/>
  </si>
  <si>
    <t>副食費徴収免除加算</t>
    <rPh sb="0" eb="3">
      <t>フクショクヒ</t>
    </rPh>
    <rPh sb="3" eb="5">
      <t>チョウシュウ</t>
    </rPh>
    <rPh sb="5" eb="7">
      <t>メンジョ</t>
    </rPh>
    <rPh sb="7" eb="9">
      <t>カサン</t>
    </rPh>
    <phoneticPr fontId="1"/>
  </si>
  <si>
    <t>該当の有無</t>
    <rPh sb="0" eb="2">
      <t>ガイトウ</t>
    </rPh>
    <rPh sb="3" eb="5">
      <t>ウム</t>
    </rPh>
    <phoneticPr fontId="1"/>
  </si>
  <si>
    <t>主幹教諭等専任加算を取得している</t>
    <rPh sb="0" eb="2">
      <t>シュカン</t>
    </rPh>
    <rPh sb="2" eb="4">
      <t>キョウユ</t>
    </rPh>
    <rPh sb="4" eb="5">
      <t>トウ</t>
    </rPh>
    <rPh sb="5" eb="7">
      <t>センニン</t>
    </rPh>
    <rPh sb="7" eb="9">
      <t>カサン</t>
    </rPh>
    <rPh sb="10" eb="12">
      <t>シュトク</t>
    </rPh>
    <phoneticPr fontId="1"/>
  </si>
  <si>
    <t>利用定員91人以上である。</t>
    <rPh sb="0" eb="2">
      <t>リヨウ</t>
    </rPh>
    <rPh sb="2" eb="4">
      <t>テイイン</t>
    </rPh>
    <rPh sb="6" eb="7">
      <t>ニン</t>
    </rPh>
    <rPh sb="7" eb="9">
      <t>イジョウ</t>
    </rPh>
    <phoneticPr fontId="1"/>
  </si>
  <si>
    <t>①</t>
    <phoneticPr fontId="1"/>
  </si>
  <si>
    <t>施設長等の職員が兼務する場合又は業務委託する場合</t>
    <rPh sb="0" eb="2">
      <t>シセツ</t>
    </rPh>
    <rPh sb="2" eb="3">
      <t>チョウ</t>
    </rPh>
    <rPh sb="3" eb="4">
      <t>トウ</t>
    </rPh>
    <rPh sb="5" eb="7">
      <t>ショクイン</t>
    </rPh>
    <rPh sb="8" eb="10">
      <t>ケンム</t>
    </rPh>
    <rPh sb="12" eb="14">
      <t>バアイ</t>
    </rPh>
    <rPh sb="14" eb="15">
      <t>マタ</t>
    </rPh>
    <rPh sb="16" eb="18">
      <t>ギョウム</t>
    </rPh>
    <rPh sb="18" eb="20">
      <t>イタク</t>
    </rPh>
    <rPh sb="22" eb="24">
      <t>バアイ</t>
    </rPh>
    <phoneticPr fontId="1"/>
  </si>
  <si>
    <t>基本分単価において求められる事務職員を配置している場合</t>
    <rPh sb="0" eb="2">
      <t>キホン</t>
    </rPh>
    <rPh sb="2" eb="3">
      <t>ブン</t>
    </rPh>
    <rPh sb="3" eb="5">
      <t>タンカ</t>
    </rPh>
    <rPh sb="9" eb="10">
      <t>モト</t>
    </rPh>
    <rPh sb="14" eb="16">
      <t>ジム</t>
    </rPh>
    <rPh sb="16" eb="18">
      <t>ショクイン</t>
    </rPh>
    <rPh sb="19" eb="21">
      <t>ハイチ</t>
    </rPh>
    <rPh sb="25" eb="27">
      <t>バアイ</t>
    </rPh>
    <phoneticPr fontId="1"/>
  </si>
  <si>
    <t>※　非常勤講師の代わりに正職の教諭を配置することも可能。</t>
    <rPh sb="2" eb="5">
      <t>ヒジョウキン</t>
    </rPh>
    <rPh sb="5" eb="7">
      <t>コウシ</t>
    </rPh>
    <rPh sb="8" eb="9">
      <t>カ</t>
    </rPh>
    <rPh sb="12" eb="14">
      <t>セイショク</t>
    </rPh>
    <rPh sb="15" eb="17">
      <t>キョウユ</t>
    </rPh>
    <rPh sb="18" eb="20">
      <t>ハイチ</t>
    </rPh>
    <rPh sb="25" eb="27">
      <t>カノウ</t>
    </rPh>
    <phoneticPr fontId="1"/>
  </si>
  <si>
    <t>事務員</t>
    <rPh sb="0" eb="2">
      <t>ジム</t>
    </rPh>
    <rPh sb="2" eb="3">
      <t>イン</t>
    </rPh>
    <phoneticPr fontId="1"/>
  </si>
  <si>
    <t>その他</t>
    <rPh sb="2" eb="3">
      <t>タ</t>
    </rPh>
    <phoneticPr fontId="1"/>
  </si>
  <si>
    <t>教諭</t>
    <rPh sb="0" eb="2">
      <t>キョウユ</t>
    </rPh>
    <phoneticPr fontId="1"/>
  </si>
  <si>
    <t>調理</t>
    <rPh sb="0" eb="2">
      <t>チョウリ</t>
    </rPh>
    <phoneticPr fontId="1"/>
  </si>
  <si>
    <t>栄養</t>
    <rPh sb="0" eb="2">
      <t>エイヨウ</t>
    </rPh>
    <phoneticPr fontId="1"/>
  </si>
  <si>
    <t xml:space="preserve">                                                             </t>
    <phoneticPr fontId="1"/>
  </si>
  <si>
    <t>↓加算適用を開始(変更)した月を入力してください。</t>
    <rPh sb="1" eb="3">
      <t>カサン</t>
    </rPh>
    <rPh sb="3" eb="5">
      <t>テキヨウ</t>
    </rPh>
    <rPh sb="6" eb="8">
      <t>カイシ</t>
    </rPh>
    <rPh sb="9" eb="11">
      <t>ヘンコウ</t>
    </rPh>
    <rPh sb="14" eb="15">
      <t>ツキ</t>
    </rPh>
    <rPh sb="16" eb="18">
      <t>ニュウリョク</t>
    </rPh>
    <phoneticPr fontId="1"/>
  </si>
  <si>
    <t>加算適用開始(変更)月</t>
    <rPh sb="0" eb="2">
      <t>カサン</t>
    </rPh>
    <rPh sb="2" eb="4">
      <t>テキヨウ</t>
    </rPh>
    <rPh sb="4" eb="6">
      <t>カイシ</t>
    </rPh>
    <rPh sb="7" eb="9">
      <t>ヘンコウ</t>
    </rPh>
    <rPh sb="10" eb="11">
      <t>ツキ</t>
    </rPh>
    <phoneticPr fontId="1"/>
  </si>
  <si>
    <t>日付</t>
    <rPh sb="0" eb="2">
      <t>ヒヅケ</t>
    </rPh>
    <phoneticPr fontId="1"/>
  </si>
  <si>
    <t>適否判定</t>
    <rPh sb="0" eb="2">
      <t>テキヒ</t>
    </rPh>
    <rPh sb="2" eb="4">
      <t>ハンテイ</t>
    </rPh>
    <phoneticPr fontId="1"/>
  </si>
  <si>
    <t>基本情報</t>
    <rPh sb="0" eb="2">
      <t>キホン</t>
    </rPh>
    <rPh sb="2" eb="4">
      <t>ジョウホウ</t>
    </rPh>
    <phoneticPr fontId="1"/>
  </si>
  <si>
    <t>項目</t>
    <rPh sb="0" eb="2">
      <t>コウモク</t>
    </rPh>
    <phoneticPr fontId="1"/>
  </si>
  <si>
    <t>入力欄</t>
    <rPh sb="0" eb="2">
      <t>ニュウリョク</t>
    </rPh>
    <rPh sb="2" eb="3">
      <t>ラン</t>
    </rPh>
    <phoneticPr fontId="1"/>
  </si>
  <si>
    <t>氏名</t>
    <rPh sb="0" eb="2">
      <t>シメイ</t>
    </rPh>
    <phoneticPr fontId="1"/>
  </si>
  <si>
    <t>生年月日</t>
    <rPh sb="0" eb="2">
      <t>セイネン</t>
    </rPh>
    <rPh sb="2" eb="4">
      <t>ガッピ</t>
    </rPh>
    <phoneticPr fontId="1"/>
  </si>
  <si>
    <t>年齢</t>
    <rPh sb="0" eb="2">
      <t>ネンレイ</t>
    </rPh>
    <phoneticPr fontId="1"/>
  </si>
  <si>
    <t>住所</t>
    <rPh sb="0" eb="2">
      <t>ジュウショ</t>
    </rPh>
    <phoneticPr fontId="1"/>
  </si>
  <si>
    <t>学歴</t>
    <rPh sb="0" eb="2">
      <t>ガクレキ</t>
    </rPh>
    <phoneticPr fontId="1"/>
  </si>
  <si>
    <t>学校名と入学・中退・卒業等を記載</t>
    <rPh sb="0" eb="2">
      <t>ガッコウ</t>
    </rPh>
    <rPh sb="2" eb="3">
      <t>メイ</t>
    </rPh>
    <rPh sb="4" eb="5">
      <t>ニュウ</t>
    </rPh>
    <rPh sb="5" eb="6">
      <t>ガク</t>
    </rPh>
    <rPh sb="7" eb="9">
      <t>チュウタイ</t>
    </rPh>
    <rPh sb="10" eb="11">
      <t>ソツ</t>
    </rPh>
    <rPh sb="11" eb="12">
      <t>ギョウ</t>
    </rPh>
    <rPh sb="12" eb="13">
      <t>トウ</t>
    </rPh>
    <rPh sb="14" eb="16">
      <t>キサイ</t>
    </rPh>
    <phoneticPr fontId="1"/>
  </si>
  <si>
    <t>職歴</t>
    <rPh sb="0" eb="2">
      <t>ショクレキ</t>
    </rPh>
    <phoneticPr fontId="1"/>
  </si>
  <si>
    <t>会社名と経歴等を記載</t>
    <rPh sb="0" eb="3">
      <t>カイシャメイ</t>
    </rPh>
    <rPh sb="3" eb="4">
      <t>ガクメイ</t>
    </rPh>
    <rPh sb="4" eb="6">
      <t>ケイレキ</t>
    </rPh>
    <rPh sb="6" eb="7">
      <t>トウ</t>
    </rPh>
    <rPh sb="8" eb="10">
      <t>キサイ</t>
    </rPh>
    <phoneticPr fontId="1"/>
  </si>
  <si>
    <t>資格</t>
    <rPh sb="0" eb="2">
      <t>シカク</t>
    </rPh>
    <phoneticPr fontId="1"/>
  </si>
  <si>
    <t>資格名等を記載</t>
    <rPh sb="0" eb="2">
      <t>シカク</t>
    </rPh>
    <rPh sb="2" eb="3">
      <t>メイ</t>
    </rPh>
    <rPh sb="3" eb="4">
      <t>トウ</t>
    </rPh>
    <rPh sb="5" eb="7">
      <t>キサイ</t>
    </rPh>
    <phoneticPr fontId="1"/>
  </si>
  <si>
    <t>２　同一又は系列園での施設長の重複確認</t>
    <rPh sb="2" eb="4">
      <t>ドウイツ</t>
    </rPh>
    <rPh sb="4" eb="5">
      <t>マタ</t>
    </rPh>
    <rPh sb="6" eb="8">
      <t>ケイレツ</t>
    </rPh>
    <rPh sb="8" eb="9">
      <t>エン</t>
    </rPh>
    <rPh sb="11" eb="14">
      <t>シセツチョウ</t>
    </rPh>
    <rPh sb="15" eb="17">
      <t>チョウフク</t>
    </rPh>
    <rPh sb="17" eb="19">
      <t>カクニン</t>
    </rPh>
    <phoneticPr fontId="1"/>
  </si>
  <si>
    <t>職種区分</t>
    <rPh sb="0" eb="2">
      <t>ショクシュ</t>
    </rPh>
    <rPh sb="2" eb="4">
      <t>クブン</t>
    </rPh>
    <phoneticPr fontId="1"/>
  </si>
  <si>
    <t>施設C</t>
    <rPh sb="0" eb="2">
      <t>シセツ</t>
    </rPh>
    <phoneticPr fontId="3"/>
  </si>
  <si>
    <t>公私</t>
    <rPh sb="0" eb="2">
      <t>コウシ</t>
    </rPh>
    <phoneticPr fontId="3"/>
  </si>
  <si>
    <t>種別</t>
    <rPh sb="0" eb="1">
      <t>シュ</t>
    </rPh>
    <rPh sb="1" eb="2">
      <t>ベツ</t>
    </rPh>
    <phoneticPr fontId="3"/>
  </si>
  <si>
    <t>区</t>
    <rPh sb="0" eb="1">
      <t>ク</t>
    </rPh>
    <phoneticPr fontId="3"/>
  </si>
  <si>
    <t>施設・事業所名</t>
    <rPh sb="0" eb="2">
      <t>シセツ</t>
    </rPh>
    <rPh sb="3" eb="5">
      <t>ジギョウ</t>
    </rPh>
    <rPh sb="5" eb="6">
      <t>ショ</t>
    </rPh>
    <rPh sb="6" eb="7">
      <t>メイ</t>
    </rPh>
    <phoneticPr fontId="3"/>
  </si>
  <si>
    <t>認定こども園認可定員内訳</t>
    <rPh sb="0" eb="2">
      <t>ニンテイ</t>
    </rPh>
    <rPh sb="5" eb="6">
      <t>エン</t>
    </rPh>
    <rPh sb="6" eb="8">
      <t>ニンカ</t>
    </rPh>
    <rPh sb="8" eb="10">
      <t>テイイン</t>
    </rPh>
    <rPh sb="10" eb="12">
      <t>ウチワケ</t>
    </rPh>
    <phoneticPr fontId="3"/>
  </si>
  <si>
    <t>認可定員</t>
    <phoneticPr fontId="3"/>
  </si>
  <si>
    <t>利用定員</t>
    <rPh sb="0" eb="2">
      <t>リヨウ</t>
    </rPh>
    <rPh sb="2" eb="4">
      <t>テイイン</t>
    </rPh>
    <phoneticPr fontId="3"/>
  </si>
  <si>
    <t>1号</t>
    <rPh sb="1" eb="2">
      <t>ゴウ</t>
    </rPh>
    <phoneticPr fontId="3"/>
  </si>
  <si>
    <t>2号</t>
    <rPh sb="1" eb="2">
      <t>ゴウ</t>
    </rPh>
    <phoneticPr fontId="3"/>
  </si>
  <si>
    <t>3号</t>
    <rPh sb="1" eb="2">
      <t>ゴウ</t>
    </rPh>
    <phoneticPr fontId="3"/>
  </si>
  <si>
    <t>3号（0歳）</t>
    <rPh sb="1" eb="2">
      <t>ゴウ</t>
    </rPh>
    <rPh sb="4" eb="5">
      <t>サイ</t>
    </rPh>
    <phoneticPr fontId="3"/>
  </si>
  <si>
    <t>3号（1･2歳）</t>
    <rPh sb="1" eb="2">
      <t>ゴウ</t>
    </rPh>
    <rPh sb="6" eb="7">
      <t>サイ</t>
    </rPh>
    <phoneticPr fontId="3"/>
  </si>
  <si>
    <t>3号合計</t>
    <rPh sb="1" eb="2">
      <t>ゴウ</t>
    </rPh>
    <rPh sb="2" eb="4">
      <t>ゴウケイ</t>
    </rPh>
    <phoneticPr fontId="3"/>
  </si>
  <si>
    <t>列2</t>
  </si>
  <si>
    <t>列3</t>
  </si>
  <si>
    <t>列4</t>
  </si>
  <si>
    <t>列5</t>
  </si>
  <si>
    <t>列6</t>
  </si>
  <si>
    <t>列7</t>
  </si>
  <si>
    <t>列8</t>
  </si>
  <si>
    <t>列9</t>
  </si>
  <si>
    <t>列10</t>
  </si>
  <si>
    <t>列11</t>
  </si>
  <si>
    <t>列12</t>
  </si>
  <si>
    <t>列13</t>
  </si>
  <si>
    <t>列132</t>
  </si>
  <si>
    <t>列14</t>
  </si>
  <si>
    <t>01私立</t>
  </si>
  <si>
    <t>中央区</t>
  </si>
  <si>
    <t>こひつじ幼稚園</t>
  </si>
  <si>
    <t>札幌大谷第二幼稚園</t>
  </si>
  <si>
    <t>北区</t>
  </si>
  <si>
    <t>東区</t>
  </si>
  <si>
    <t>白石区</t>
  </si>
  <si>
    <t>札幌白樺幼稚園</t>
  </si>
  <si>
    <t>厚別区</t>
  </si>
  <si>
    <t>札幌みづほ幼稚園</t>
  </si>
  <si>
    <t>豊平区</t>
  </si>
  <si>
    <t>美晴幼稚園</t>
  </si>
  <si>
    <t>清田区</t>
  </si>
  <si>
    <t>南区</t>
  </si>
  <si>
    <t>札幌梅香幼稚園</t>
  </si>
  <si>
    <t>札幌みすまい幼稚園</t>
  </si>
  <si>
    <t>西区</t>
  </si>
  <si>
    <t>集計</t>
  </si>
  <si>
    <t>12</t>
  </si>
  <si>
    <t>所在区</t>
    <rPh sb="0" eb="2">
      <t>ショザイ</t>
    </rPh>
    <rPh sb="2" eb="3">
      <t>ク</t>
    </rPh>
    <phoneticPr fontId="1"/>
  </si>
  <si>
    <t>施設名</t>
    <rPh sb="0" eb="2">
      <t>シセツ</t>
    </rPh>
    <rPh sb="2" eb="3">
      <t>メイ</t>
    </rPh>
    <phoneticPr fontId="1"/>
  </si>
  <si>
    <t>所在区</t>
    <rPh sb="0" eb="2">
      <t>ショザイ</t>
    </rPh>
    <rPh sb="2" eb="3">
      <t>ク</t>
    </rPh>
    <phoneticPr fontId="1"/>
  </si>
  <si>
    <t>中央区</t>
    <rPh sb="0" eb="3">
      <t>チュウオウク</t>
    </rPh>
    <phoneticPr fontId="1"/>
  </si>
  <si>
    <t>北区</t>
    <rPh sb="0" eb="2">
      <t>キタク</t>
    </rPh>
    <phoneticPr fontId="1"/>
  </si>
  <si>
    <t>東区</t>
    <rPh sb="0" eb="2">
      <t>ヒガシク</t>
    </rPh>
    <phoneticPr fontId="1"/>
  </si>
  <si>
    <t>白石区</t>
    <rPh sb="0" eb="3">
      <t>シロイシク</t>
    </rPh>
    <phoneticPr fontId="1"/>
  </si>
  <si>
    <t>厚別区</t>
    <rPh sb="0" eb="3">
      <t>アツベツク</t>
    </rPh>
    <phoneticPr fontId="1"/>
  </si>
  <si>
    <t>豊平区</t>
    <rPh sb="0" eb="3">
      <t>トヨヒラク</t>
    </rPh>
    <phoneticPr fontId="1"/>
  </si>
  <si>
    <t>清田区</t>
    <rPh sb="0" eb="3">
      <t>キヨタク</t>
    </rPh>
    <phoneticPr fontId="1"/>
  </si>
  <si>
    <t>南区</t>
    <rPh sb="0" eb="2">
      <t>ミナミク</t>
    </rPh>
    <phoneticPr fontId="1"/>
  </si>
  <si>
    <t>西区</t>
    <rPh sb="0" eb="2">
      <t>ニシク</t>
    </rPh>
    <phoneticPr fontId="1"/>
  </si>
  <si>
    <t>手稲区</t>
    <rPh sb="0" eb="3">
      <t>テイネク</t>
    </rPh>
    <phoneticPr fontId="1"/>
  </si>
  <si>
    <t>施設種別</t>
    <rPh sb="0" eb="2">
      <t>シセツ</t>
    </rPh>
    <rPh sb="2" eb="4">
      <t>シュベツ</t>
    </rPh>
    <phoneticPr fontId="1"/>
  </si>
  <si>
    <t>申請月</t>
    <rPh sb="0" eb="2">
      <t>シンセイ</t>
    </rPh>
    <rPh sb="2" eb="3">
      <t>ツキ</t>
    </rPh>
    <phoneticPr fontId="1"/>
  </si>
  <si>
    <t>給食実施加算（１号）</t>
    <rPh sb="0" eb="2">
      <t>キュウショク</t>
    </rPh>
    <rPh sb="2" eb="4">
      <t>ジッシ</t>
    </rPh>
    <rPh sb="4" eb="6">
      <t>カサン</t>
    </rPh>
    <rPh sb="8" eb="9">
      <t>ゴウ</t>
    </rPh>
    <phoneticPr fontId="1"/>
  </si>
  <si>
    <t>↓【判定】…個票を入力することで、申請の有無に「〇」又は該当する区分が表示されます。</t>
    <rPh sb="2" eb="4">
      <t>ハンテイ</t>
    </rPh>
    <rPh sb="6" eb="8">
      <t>コヒョウ</t>
    </rPh>
    <rPh sb="9" eb="11">
      <t>ニュウリョク</t>
    </rPh>
    <rPh sb="17" eb="19">
      <t>シンセイ</t>
    </rPh>
    <rPh sb="20" eb="22">
      <t>ウム</t>
    </rPh>
    <rPh sb="26" eb="27">
      <t>マタ</t>
    </rPh>
    <rPh sb="28" eb="30">
      <t>ガイトウ</t>
    </rPh>
    <rPh sb="32" eb="34">
      <t>クブン</t>
    </rPh>
    <rPh sb="35" eb="37">
      <t>ヒョウジ</t>
    </rPh>
    <phoneticPr fontId="1"/>
  </si>
  <si>
    <t>※　減算適用の有無にかかわらず下記を記載すること(記載がない場合は減算「適」の判定が表示されます。)</t>
    <rPh sb="25" eb="27">
      <t>キサイ</t>
    </rPh>
    <rPh sb="30" eb="32">
      <t>バアイ</t>
    </rPh>
    <rPh sb="33" eb="35">
      <t>ゲンサン</t>
    </rPh>
    <rPh sb="36" eb="37">
      <t>テキ</t>
    </rPh>
    <rPh sb="39" eb="41">
      <t>ハンテイ</t>
    </rPh>
    <rPh sb="42" eb="44">
      <t>ヒョウジ</t>
    </rPh>
    <phoneticPr fontId="1"/>
  </si>
  <si>
    <t>0　基本配置職員</t>
    <rPh sb="2" eb="4">
      <t>キホン</t>
    </rPh>
    <rPh sb="4" eb="6">
      <t>ハイチ</t>
    </rPh>
    <rPh sb="6" eb="8">
      <t>ショクイン</t>
    </rPh>
    <phoneticPr fontId="1"/>
  </si>
  <si>
    <t>嘱託による配置</t>
    <rPh sb="0" eb="2">
      <t>ショクタク</t>
    </rPh>
    <rPh sb="5" eb="7">
      <t>ハイチ</t>
    </rPh>
    <phoneticPr fontId="1"/>
  </si>
  <si>
    <t>直接雇用による配置</t>
    <rPh sb="0" eb="2">
      <t>チョクセツ</t>
    </rPh>
    <rPh sb="2" eb="4">
      <t>コヨウ</t>
    </rPh>
    <rPh sb="7" eb="9">
      <t>ハイチ</t>
    </rPh>
    <phoneticPr fontId="1"/>
  </si>
  <si>
    <t>①</t>
    <phoneticPr fontId="1"/>
  </si>
  <si>
    <t>②</t>
    <phoneticPr fontId="1"/>
  </si>
  <si>
    <t>③</t>
    <phoneticPr fontId="1"/>
  </si>
  <si>
    <t>基本配置職員</t>
    <rPh sb="0" eb="2">
      <t>キホン</t>
    </rPh>
    <rPh sb="2" eb="4">
      <t>ハイチ</t>
    </rPh>
    <rPh sb="4" eb="6">
      <t>ショクイン</t>
    </rPh>
    <phoneticPr fontId="1"/>
  </si>
  <si>
    <t>常勤事務+非常勤事務</t>
    <rPh sb="0" eb="2">
      <t>ジョウキン</t>
    </rPh>
    <rPh sb="2" eb="4">
      <t>ジム</t>
    </rPh>
    <rPh sb="5" eb="8">
      <t>ヒジョウキン</t>
    </rPh>
    <rPh sb="8" eb="10">
      <t>ジム</t>
    </rPh>
    <phoneticPr fontId="1"/>
  </si>
  <si>
    <t>業務委託している</t>
    <rPh sb="0" eb="2">
      <t>ギョウム</t>
    </rPh>
    <rPh sb="2" eb="4">
      <t>イタク</t>
    </rPh>
    <phoneticPr fontId="1"/>
  </si>
  <si>
    <t>就業規則に定める時間</t>
    <rPh sb="0" eb="2">
      <t>シュウギョウ</t>
    </rPh>
    <rPh sb="2" eb="4">
      <t>キソク</t>
    </rPh>
    <rPh sb="5" eb="6">
      <t>サダ</t>
    </rPh>
    <rPh sb="8" eb="10">
      <t>ジカン</t>
    </rPh>
    <phoneticPr fontId="1"/>
  </si>
  <si>
    <t>配置状況</t>
    <rPh sb="0" eb="2">
      <t>ハイチ</t>
    </rPh>
    <rPh sb="2" eb="4">
      <t>ジョウキョウ</t>
    </rPh>
    <phoneticPr fontId="1"/>
  </si>
  <si>
    <t>施設型給付認定開始年月</t>
    <rPh sb="0" eb="3">
      <t>シセツガタ</t>
    </rPh>
    <rPh sb="3" eb="5">
      <t>キュウフ</t>
    </rPh>
    <rPh sb="5" eb="7">
      <t>ニンテイ</t>
    </rPh>
    <rPh sb="7" eb="9">
      <t>カイシ</t>
    </rPh>
    <rPh sb="9" eb="11">
      <t>ネンゲツ</t>
    </rPh>
    <phoneticPr fontId="1"/>
  </si>
  <si>
    <t>年</t>
    <rPh sb="0" eb="1">
      <t>ネン</t>
    </rPh>
    <phoneticPr fontId="1"/>
  </si>
  <si>
    <t>月</t>
    <rPh sb="0" eb="1">
      <t>ガツ</t>
    </rPh>
    <phoneticPr fontId="1"/>
  </si>
  <si>
    <t>札幌市子ども未来局等と協議し利用定員等の見直しを行った。</t>
    <rPh sb="0" eb="3">
      <t>サッポロシ</t>
    </rPh>
    <rPh sb="3" eb="4">
      <t>コ</t>
    </rPh>
    <rPh sb="6" eb="8">
      <t>ミライ</t>
    </rPh>
    <rPh sb="8" eb="9">
      <t>キョク</t>
    </rPh>
    <rPh sb="9" eb="10">
      <t>トウ</t>
    </rPh>
    <rPh sb="11" eb="13">
      <t>キョウギ</t>
    </rPh>
    <rPh sb="14" eb="16">
      <t>リヨウ</t>
    </rPh>
    <rPh sb="16" eb="18">
      <t>テイイン</t>
    </rPh>
    <rPh sb="18" eb="19">
      <t>トウ</t>
    </rPh>
    <rPh sb="20" eb="22">
      <t>ミナオ</t>
    </rPh>
    <rPh sb="24" eb="25">
      <t>オコナ</t>
    </rPh>
    <phoneticPr fontId="1"/>
  </si>
  <si>
    <t>↓判定が○となった場合のみ</t>
    <rPh sb="1" eb="3">
      <t>ハンテイ</t>
    </rPh>
    <rPh sb="9" eb="11">
      <t>バアイ</t>
    </rPh>
    <phoneticPr fontId="1"/>
  </si>
  <si>
    <t>下記の事業のうち２つ以上を実施している</t>
    <phoneticPr fontId="1"/>
  </si>
  <si>
    <t>加算要件
（１～２の要件全てに該当する場合に加算）</t>
    <rPh sb="0" eb="2">
      <t>カサン</t>
    </rPh>
    <rPh sb="2" eb="4">
      <t>ヨウケン</t>
    </rPh>
    <phoneticPr fontId="1"/>
  </si>
  <si>
    <t>減算要件
（１～２の要件全てに該当する場合に減算）</t>
    <rPh sb="0" eb="2">
      <t>ゲンサン</t>
    </rPh>
    <rPh sb="2" eb="4">
      <t>ヨウケン</t>
    </rPh>
    <rPh sb="22" eb="24">
      <t>ゲンサン</t>
    </rPh>
    <phoneticPr fontId="1"/>
  </si>
  <si>
    <t>②</t>
    <phoneticPr fontId="1"/>
  </si>
  <si>
    <t>③</t>
    <phoneticPr fontId="1"/>
  </si>
  <si>
    <t>④</t>
    <phoneticPr fontId="1"/>
  </si>
  <si>
    <t>月初日時点で障がい児を受け入れている</t>
    <rPh sb="0" eb="1">
      <t>ツキ</t>
    </rPh>
    <rPh sb="1" eb="3">
      <t>ショニチ</t>
    </rPh>
    <rPh sb="3" eb="5">
      <t>ジテン</t>
    </rPh>
    <rPh sb="6" eb="7">
      <t>ショウ</t>
    </rPh>
    <rPh sb="9" eb="10">
      <t>ジ</t>
    </rPh>
    <rPh sb="11" eb="12">
      <t>ウ</t>
    </rPh>
    <rPh sb="13" eb="14">
      <t>イ</t>
    </rPh>
    <phoneticPr fontId="1"/>
  </si>
  <si>
    <t>①</t>
    <phoneticPr fontId="1"/>
  </si>
  <si>
    <t>それ以外の障がい児</t>
    <rPh sb="2" eb="4">
      <t>イガイ</t>
    </rPh>
    <rPh sb="5" eb="6">
      <t>ショウ</t>
    </rPh>
    <rPh sb="8" eb="9">
      <t>ジ</t>
    </rPh>
    <phoneticPr fontId="1"/>
  </si>
  <si>
    <t>加算要件
（１～４の要件全てに該当している場合に加算）</t>
    <rPh sb="0" eb="2">
      <t>カサン</t>
    </rPh>
    <rPh sb="2" eb="4">
      <t>ヨウケン</t>
    </rPh>
    <phoneticPr fontId="1"/>
  </si>
  <si>
    <t>加算要件
（１～２の要件全てに該当している場合に加算）</t>
    <rPh sb="0" eb="2">
      <t>カサン</t>
    </rPh>
    <rPh sb="2" eb="4">
      <t>ヨウケン</t>
    </rPh>
    <phoneticPr fontId="1"/>
  </si>
  <si>
    <t>加算要件
（１～３の要件全てに該当している場合に加算）</t>
    <rPh sb="0" eb="2">
      <t>カサン</t>
    </rPh>
    <rPh sb="2" eb="4">
      <t>ヨウケン</t>
    </rPh>
    <phoneticPr fontId="1"/>
  </si>
  <si>
    <t>加算要件
（１～２の要件全てに該当している場合に加算）</t>
    <rPh sb="0" eb="2">
      <t>カサン</t>
    </rPh>
    <rPh sb="2" eb="4">
      <t>ヨウケン</t>
    </rPh>
    <phoneticPr fontId="1"/>
  </si>
  <si>
    <t>札幌市確認</t>
    <rPh sb="0" eb="3">
      <t>サッポロシ</t>
    </rPh>
    <rPh sb="3" eb="5">
      <t>カクニン</t>
    </rPh>
    <phoneticPr fontId="1"/>
  </si>
  <si>
    <t>副食</t>
    <rPh sb="0" eb="2">
      <t>フクショク</t>
    </rPh>
    <phoneticPr fontId="1"/>
  </si>
  <si>
    <t>列133</t>
  </si>
  <si>
    <t>分園(内数)/従業員枠（外数）</t>
    <rPh sb="0" eb="2">
      <t>ブンエン</t>
    </rPh>
    <rPh sb="3" eb="5">
      <t>ウチスウ</t>
    </rPh>
    <rPh sb="7" eb="10">
      <t>ジュウギョウイン</t>
    </rPh>
    <rPh sb="10" eb="11">
      <t>ワク</t>
    </rPh>
    <rPh sb="12" eb="13">
      <t>ソト</t>
    </rPh>
    <rPh sb="13" eb="14">
      <t>スウ</t>
    </rPh>
    <phoneticPr fontId="3"/>
  </si>
  <si>
    <t>（うち２号）</t>
    <rPh sb="4" eb="5">
      <t>ゴウ</t>
    </rPh>
    <phoneticPr fontId="3"/>
  </si>
  <si>
    <t>副園長又は教頭等は当該施設に常時勤務する者であること</t>
    <rPh sb="0" eb="3">
      <t>フクエンチョウ</t>
    </rPh>
    <rPh sb="3" eb="4">
      <t>マタ</t>
    </rPh>
    <rPh sb="5" eb="7">
      <t>キョウトウ</t>
    </rPh>
    <rPh sb="7" eb="8">
      <t>トウ</t>
    </rPh>
    <phoneticPr fontId="1"/>
  </si>
  <si>
    <t>園長を配置している</t>
    <rPh sb="0" eb="2">
      <t>エンチョウ</t>
    </rPh>
    <rPh sb="3" eb="5">
      <t>ハイチ</t>
    </rPh>
    <phoneticPr fontId="1"/>
  </si>
  <si>
    <t>※1　複数選ぶとエラーとなります</t>
    <rPh sb="3" eb="5">
      <t>フクスウ</t>
    </rPh>
    <rPh sb="5" eb="6">
      <t>エラ</t>
    </rPh>
    <phoneticPr fontId="1"/>
  </si>
  <si>
    <t>配置要件
（1～3の全てを配置すること）</t>
    <rPh sb="0" eb="2">
      <t>ハイチ</t>
    </rPh>
    <rPh sb="2" eb="4">
      <t>ヨウケン</t>
    </rPh>
    <rPh sb="10" eb="11">
      <t>スベ</t>
    </rPh>
    <rPh sb="13" eb="15">
      <t>ハイチ</t>
    </rPh>
    <phoneticPr fontId="1"/>
  </si>
  <si>
    <t xml:space="preserve"> 　加算要件
（１～5の要件全てに該当する場合に加算）</t>
    <rPh sb="2" eb="4">
      <t>カサン</t>
    </rPh>
    <rPh sb="4" eb="6">
      <t>ヨウケン</t>
    </rPh>
    <phoneticPr fontId="1"/>
  </si>
  <si>
    <t>園長及び副園長(教頭)を配置している</t>
    <rPh sb="0" eb="2">
      <t>エンチョウ</t>
    </rPh>
    <rPh sb="2" eb="3">
      <t>オヨ</t>
    </rPh>
    <rPh sb="4" eb="7">
      <t>フクエンチョウ</t>
    </rPh>
    <rPh sb="8" eb="10">
      <t>キョウトウ</t>
    </rPh>
    <rPh sb="12" eb="14">
      <t>ハイチ</t>
    </rPh>
    <phoneticPr fontId="1"/>
  </si>
  <si>
    <t>換算月</t>
    <rPh sb="0" eb="2">
      <t>カンサン</t>
    </rPh>
    <rPh sb="2" eb="3">
      <t>ツキ</t>
    </rPh>
    <phoneticPr fontId="1"/>
  </si>
  <si>
    <t>４月：</t>
    <rPh sb="1" eb="2">
      <t>ガツ</t>
    </rPh>
    <phoneticPr fontId="1"/>
  </si>
  <si>
    <t>５月：</t>
    <rPh sb="1" eb="2">
      <t>ガツ</t>
    </rPh>
    <phoneticPr fontId="1"/>
  </si>
  <si>
    <t>６月：</t>
    <rPh sb="1" eb="2">
      <t>ガツ</t>
    </rPh>
    <phoneticPr fontId="1"/>
  </si>
  <si>
    <t>７月：</t>
    <rPh sb="1" eb="2">
      <t>ガツ</t>
    </rPh>
    <phoneticPr fontId="1"/>
  </si>
  <si>
    <t>対象</t>
    <rPh sb="0" eb="2">
      <t>タイショウ</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</si>
  <si>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</si>
  <si>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</si>
  <si>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</si>
  <si>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</si>
  <si>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</si>
  <si>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</si>
  <si>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</si>
  <si>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</si>
  <si>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月</t>
    <rPh sb="0" eb="1">
      <t>ツキ</t>
    </rPh>
    <phoneticPr fontId="1"/>
  </si>
  <si>
    <t>当月</t>
    <rPh sb="0" eb="2">
      <t>トウゲツ</t>
    </rPh>
    <phoneticPr fontId="1"/>
  </si>
  <si>
    <t>対象月</t>
    <rPh sb="0" eb="2">
      <t>タイショウ</t>
    </rPh>
    <rPh sb="2" eb="3">
      <t>ツキ</t>
    </rPh>
    <phoneticPr fontId="1"/>
  </si>
  <si>
    <t>初日利用児童のうち障がい児が1人以上利用となった最初の月</t>
    <rPh sb="0" eb="2">
      <t>ショニチ</t>
    </rPh>
    <rPh sb="2" eb="4">
      <t>リヨウ</t>
    </rPh>
    <rPh sb="4" eb="6">
      <t>ジドウ</t>
    </rPh>
    <rPh sb="9" eb="10">
      <t>ショウ</t>
    </rPh>
    <rPh sb="12" eb="13">
      <t>ジ</t>
    </rPh>
    <rPh sb="15" eb="18">
      <t>ニンイジョウ</t>
    </rPh>
    <rPh sb="18" eb="20">
      <t>リヨウ</t>
    </rPh>
    <rPh sb="24" eb="26">
      <t>サイショ</t>
    </rPh>
    <rPh sb="27" eb="28">
      <t>ツキ</t>
    </rPh>
    <phoneticPr fontId="1"/>
  </si>
  <si>
    <t>３月のみ加算</t>
    <rPh sb="1" eb="2">
      <t>ガツ</t>
    </rPh>
    <rPh sb="4" eb="6">
      <t>カサン</t>
    </rPh>
    <phoneticPr fontId="1"/>
  </si>
  <si>
    <t>人数</t>
    <rPh sb="0" eb="2">
      <t>ニンズウ</t>
    </rPh>
    <phoneticPr fontId="1"/>
  </si>
  <si>
    <t>減算</t>
    <rPh sb="0" eb="2">
      <t>ゲンサン</t>
    </rPh>
    <phoneticPr fontId="1"/>
  </si>
  <si>
    <t>区分</t>
    <rPh sb="0" eb="2">
      <t>クブン</t>
    </rPh>
    <phoneticPr fontId="1"/>
  </si>
  <si>
    <t>市内</t>
    <rPh sb="0" eb="2">
      <t>シナイ</t>
    </rPh>
    <phoneticPr fontId="1"/>
  </si>
  <si>
    <t>市内/外</t>
    <rPh sb="0" eb="2">
      <t>シナイ</t>
    </rPh>
    <rPh sb="3" eb="4">
      <t>ガイ</t>
    </rPh>
    <phoneticPr fontId="1"/>
  </si>
  <si>
    <t>市外</t>
    <rPh sb="0" eb="2">
      <t>シガイ</t>
    </rPh>
    <phoneticPr fontId="1"/>
  </si>
  <si>
    <t>1　利用児童状況(クラス年齢)</t>
    <rPh sb="2" eb="4">
      <t>リヨウ</t>
    </rPh>
    <rPh sb="4" eb="6">
      <t>ジドウ</t>
    </rPh>
    <rPh sb="6" eb="8">
      <t>ジョウキョウ</t>
    </rPh>
    <rPh sb="12" eb="14">
      <t>ネンレイ</t>
    </rPh>
    <phoneticPr fontId="1"/>
  </si>
  <si>
    <t>総計</t>
    <rPh sb="0" eb="2">
      <t>ソウケイ</t>
    </rPh>
    <phoneticPr fontId="1"/>
  </si>
  <si>
    <t>年</t>
    <rPh sb="0" eb="1">
      <t>ネン</t>
    </rPh>
    <phoneticPr fontId="3"/>
  </si>
  <si>
    <t>月</t>
    <rPh sb="0" eb="1">
      <t>ガツ</t>
    </rPh>
    <phoneticPr fontId="3"/>
  </si>
  <si>
    <t>非常勤職員勤務シフト表</t>
    <rPh sb="0" eb="3">
      <t>ヒジョウキン</t>
    </rPh>
    <rPh sb="3" eb="5">
      <t>ショクイン</t>
    </rPh>
    <rPh sb="5" eb="7">
      <t>キンム</t>
    </rPh>
    <rPh sb="10" eb="11">
      <t>ヒョウ</t>
    </rPh>
    <phoneticPr fontId="3"/>
  </si>
  <si>
    <t>値</t>
    <rPh sb="0" eb="1">
      <t>アタイ</t>
    </rPh>
    <phoneticPr fontId="3"/>
  </si>
  <si>
    <t>○</t>
    <phoneticPr fontId="3"/>
  </si>
  <si>
    <t>提出日</t>
    <phoneticPr fontId="3"/>
  </si>
  <si>
    <t>時</t>
    <rPh sb="0" eb="1">
      <t>トキ</t>
    </rPh>
    <phoneticPr fontId="3"/>
  </si>
  <si>
    <t>⇒</t>
    <phoneticPr fontId="3"/>
  </si>
  <si>
    <t>時間</t>
    <rPh sb="0" eb="2">
      <t>ジカン</t>
    </rPh>
    <phoneticPr fontId="3"/>
  </si>
  <si>
    <t>月</t>
    <rPh sb="0" eb="1">
      <t>ツキ</t>
    </rPh>
    <phoneticPr fontId="3"/>
  </si>
  <si>
    <t>曜日</t>
    <rPh sb="0" eb="2">
      <t>ヨウビ</t>
    </rPh>
    <phoneticPr fontId="3"/>
  </si>
  <si>
    <t>（日）</t>
    <rPh sb="1" eb="2">
      <t>ニチ</t>
    </rPh>
    <phoneticPr fontId="3"/>
  </si>
  <si>
    <t>（月）</t>
    <rPh sb="1" eb="2">
      <t>ゲツ</t>
    </rPh>
    <phoneticPr fontId="3"/>
  </si>
  <si>
    <t>（火）</t>
    <rPh sb="1" eb="2">
      <t>ヒ</t>
    </rPh>
    <phoneticPr fontId="3"/>
  </si>
  <si>
    <t>（水）</t>
    <rPh sb="1" eb="2">
      <t>スイ</t>
    </rPh>
    <phoneticPr fontId="3"/>
  </si>
  <si>
    <t>（木）</t>
    <rPh sb="1" eb="2">
      <t>キ</t>
    </rPh>
    <phoneticPr fontId="3"/>
  </si>
  <si>
    <t>（金）</t>
    <rPh sb="1" eb="2">
      <t>キン</t>
    </rPh>
    <phoneticPr fontId="3"/>
  </si>
  <si>
    <t>（土）</t>
    <rPh sb="1" eb="2">
      <t>ド</t>
    </rPh>
    <phoneticPr fontId="3"/>
  </si>
  <si>
    <t>○</t>
    <phoneticPr fontId="3"/>
  </si>
  <si>
    <t>・　単位は「時間」のため、１時間30分⇒1.5（時間）となります。不明な場合は右の換算表をご使用ください。</t>
    <phoneticPr fontId="1"/>
  </si>
  <si>
    <t>分</t>
    <rPh sb="0" eb="1">
      <t>フン</t>
    </rPh>
    <phoneticPr fontId="3"/>
  </si>
  <si>
    <t>No.</t>
    <phoneticPr fontId="3"/>
  </si>
  <si>
    <t>氏名</t>
    <rPh sb="0" eb="2">
      <t>シメイ</t>
    </rPh>
    <phoneticPr fontId="3"/>
  </si>
  <si>
    <t>日にち</t>
    <rPh sb="0" eb="1">
      <t>ニチ</t>
    </rPh>
    <phoneticPr fontId="3"/>
  </si>
  <si>
    <t>曜日</t>
    <rPh sb="0" eb="1">
      <t>ヨウビ</t>
    </rPh>
    <rPh sb="1" eb="2">
      <t>ビ</t>
    </rPh>
    <phoneticPr fontId="3"/>
  </si>
  <si>
    <t>時間数</t>
    <rPh sb="0" eb="3">
      <t>ジカンスウ</t>
    </rPh>
    <phoneticPr fontId="3"/>
  </si>
  <si>
    <t>【祝日情報】</t>
    <rPh sb="1" eb="3">
      <t>シュクジツ</t>
    </rPh>
    <rPh sb="3" eb="5">
      <t>ジョウホウ</t>
    </rPh>
    <phoneticPr fontId="3"/>
  </si>
  <si>
    <r>
      <t>当該シートに祝日を入力すると、利用状況表で対応する日が「</t>
    </r>
    <r>
      <rPr>
        <sz val="12"/>
        <color rgb="FFFF0000"/>
        <rFont val="ＭＳ Ｐゴシック"/>
        <family val="3"/>
        <charset val="128"/>
      </rPr>
      <t>赤表示</t>
    </r>
    <r>
      <rPr>
        <sz val="12"/>
        <rFont val="ＭＳ Ｐゴシック"/>
        <family val="3"/>
        <charset val="128"/>
      </rPr>
      <t>」になります。</t>
    </r>
    <rPh sb="0" eb="2">
      <t>トウガイ</t>
    </rPh>
    <rPh sb="6" eb="8">
      <t>シュクジツ</t>
    </rPh>
    <rPh sb="9" eb="11">
      <t>ニュウリョク</t>
    </rPh>
    <rPh sb="15" eb="17">
      <t>リヨウ</t>
    </rPh>
    <rPh sb="17" eb="19">
      <t>ジョウキョウ</t>
    </rPh>
    <rPh sb="19" eb="20">
      <t>ヒョウ</t>
    </rPh>
    <rPh sb="21" eb="23">
      <t>タイオウ</t>
    </rPh>
    <rPh sb="25" eb="26">
      <t>ヒ</t>
    </rPh>
    <rPh sb="28" eb="29">
      <t>アカ</t>
    </rPh>
    <rPh sb="29" eb="31">
      <t>ヒョウジ</t>
    </rPh>
    <phoneticPr fontId="3"/>
  </si>
  <si>
    <t>日付</t>
    <rPh sb="0" eb="2">
      <t>ヒヅケ</t>
    </rPh>
    <phoneticPr fontId="3"/>
  </si>
  <si>
    <t>祝日名</t>
    <rPh sb="0" eb="2">
      <t>シュクジツ</t>
    </rPh>
    <rPh sb="2" eb="3">
      <t>メイ</t>
    </rPh>
    <phoneticPr fontId="3"/>
  </si>
  <si>
    <t>元日</t>
  </si>
  <si>
    <t>成人の日</t>
  </si>
  <si>
    <t>建国記念の日</t>
  </si>
  <si>
    <t>春分の日</t>
  </si>
  <si>
    <t>天皇誕生日</t>
  </si>
  <si>
    <t>昭和の日</t>
  </si>
  <si>
    <t>憲法記念日</t>
  </si>
  <si>
    <t>みどりの日</t>
  </si>
  <si>
    <t>こどもの日</t>
  </si>
  <si>
    <t>海の日</t>
  </si>
  <si>
    <t>山の日</t>
  </si>
  <si>
    <t>敬老の日</t>
  </si>
  <si>
    <t>スポーツの日</t>
  </si>
  <si>
    <t>秋分の日</t>
  </si>
  <si>
    <t>文化の日</t>
  </si>
  <si>
    <t>勤労感謝の日</t>
  </si>
  <si>
    <t>【様式１：幼稚園】</t>
    <rPh sb="1" eb="3">
      <t>ヨウシキ</t>
    </rPh>
    <rPh sb="5" eb="8">
      <t>ヨウチエン</t>
    </rPh>
    <phoneticPr fontId="1"/>
  </si>
  <si>
    <t>【様式2】</t>
    <rPh sb="1" eb="3">
      <t>ヨウシキ</t>
    </rPh>
    <phoneticPr fontId="1"/>
  </si>
  <si>
    <t>【様式3】</t>
    <rPh sb="1" eb="3">
      <t>ヨウシキ</t>
    </rPh>
    <phoneticPr fontId="1"/>
  </si>
  <si>
    <t>【様式6】</t>
    <rPh sb="1" eb="3">
      <t>ヨウシキ</t>
    </rPh>
    <phoneticPr fontId="1"/>
  </si>
  <si>
    <t>【様式5】</t>
    <rPh sb="1" eb="3">
      <t>ヨウシキ</t>
    </rPh>
    <phoneticPr fontId="1"/>
  </si>
  <si>
    <t>土・祝・休日</t>
    <rPh sb="0" eb="1">
      <t>ド</t>
    </rPh>
    <rPh sb="2" eb="3">
      <t>シュク</t>
    </rPh>
    <rPh sb="4" eb="6">
      <t>キュウジツ</t>
    </rPh>
    <phoneticPr fontId="1"/>
  </si>
  <si>
    <r>
      <t>事務職員及び非常勤事務職員（①～③のうち</t>
    </r>
    <r>
      <rPr>
        <sz val="10"/>
        <color rgb="FFFF0000"/>
        <rFont val="ＭＳ 明朝"/>
        <family val="1"/>
        <charset val="128"/>
      </rPr>
      <t>一つを選択※1</t>
    </r>
    <r>
      <rPr>
        <sz val="10"/>
        <rFont val="ＭＳ 明朝"/>
        <family val="1"/>
        <charset val="128"/>
      </rPr>
      <t>）</t>
    </r>
    <rPh sb="0" eb="2">
      <t>ジム</t>
    </rPh>
    <rPh sb="2" eb="4">
      <t>ショクイン</t>
    </rPh>
    <rPh sb="4" eb="5">
      <t>オヨ</t>
    </rPh>
    <rPh sb="6" eb="9">
      <t>ヒジョウキン</t>
    </rPh>
    <rPh sb="9" eb="11">
      <t>ジム</t>
    </rPh>
    <rPh sb="11" eb="13">
      <t>ショクイン</t>
    </rPh>
    <rPh sb="20" eb="21">
      <t>ヒト</t>
    </rPh>
    <rPh sb="23" eb="25">
      <t>センタク</t>
    </rPh>
    <phoneticPr fontId="1"/>
  </si>
  <si>
    <r>
      <t>学校医、学校歯科医及び学校薬剤師（①～②のうち</t>
    </r>
    <r>
      <rPr>
        <sz val="10"/>
        <color rgb="FFFF0000"/>
        <rFont val="ＭＳ 明朝"/>
        <family val="1"/>
        <charset val="128"/>
      </rPr>
      <t>一つを選択※1</t>
    </r>
    <r>
      <rPr>
        <sz val="10"/>
        <rFont val="ＭＳ 明朝"/>
        <family val="1"/>
        <charset val="128"/>
      </rPr>
      <t>）</t>
    </r>
    <rPh sb="0" eb="2">
      <t>ガッコウ</t>
    </rPh>
    <rPh sb="2" eb="3">
      <t>イ</t>
    </rPh>
    <rPh sb="4" eb="6">
      <t>ガッコウ</t>
    </rPh>
    <rPh sb="6" eb="9">
      <t>シカイ</t>
    </rPh>
    <rPh sb="9" eb="10">
      <t>オヨ</t>
    </rPh>
    <rPh sb="11" eb="13">
      <t>ガッコウ</t>
    </rPh>
    <rPh sb="13" eb="16">
      <t>ヤクザイシ</t>
    </rPh>
    <rPh sb="23" eb="24">
      <t>ヒト</t>
    </rPh>
    <rPh sb="26" eb="28">
      <t>センタク</t>
    </rPh>
    <phoneticPr fontId="1"/>
  </si>
  <si>
    <t>様式2/様式5</t>
    <rPh sb="0" eb="2">
      <t>ヨウシキ</t>
    </rPh>
    <rPh sb="4" eb="6">
      <t>ヨウシキ</t>
    </rPh>
    <phoneticPr fontId="1"/>
  </si>
  <si>
    <t>配置</t>
    <rPh sb="0" eb="2">
      <t>ハイチ</t>
    </rPh>
    <phoneticPr fontId="1"/>
  </si>
  <si>
    <t>学校教育法第27条に規定する
「副園長又は教頭の職務をつかさどっていること」</t>
    <phoneticPr fontId="1"/>
  </si>
  <si>
    <t>学校教育法施行規則第23条において準用する第20条から第22条までに該当するもの
「（副園長又は教頭）として発令を受けていること」</t>
    <rPh sb="43" eb="46">
      <t>フクエンチョウ</t>
    </rPh>
    <rPh sb="46" eb="47">
      <t>マタ</t>
    </rPh>
    <rPh sb="48" eb="50">
      <t>キョウトウ</t>
    </rPh>
    <phoneticPr fontId="1"/>
  </si>
  <si>
    <t>様式5</t>
    <rPh sb="0" eb="2">
      <t>ヨウシキ</t>
    </rPh>
    <phoneticPr fontId="1"/>
  </si>
  <si>
    <t>職員配置を充足している</t>
    <rPh sb="0" eb="2">
      <t>ショクイン</t>
    </rPh>
    <rPh sb="2" eb="4">
      <t>ハイチ</t>
    </rPh>
    <rPh sb="5" eb="7">
      <t>ジュウソク</t>
    </rPh>
    <phoneticPr fontId="1"/>
  </si>
  <si>
    <t>①　別紙1-1</t>
    <rPh sb="2" eb="4">
      <t>ベッシ</t>
    </rPh>
    <phoneticPr fontId="1"/>
  </si>
  <si>
    <t>②　発令又は辞令書（写し）</t>
    <rPh sb="2" eb="4">
      <t>ハツレイ</t>
    </rPh>
    <rPh sb="4" eb="5">
      <t>マタ</t>
    </rPh>
    <rPh sb="6" eb="8">
      <t>ジレイ</t>
    </rPh>
    <rPh sb="8" eb="9">
      <t>ショ</t>
    </rPh>
    <rPh sb="10" eb="11">
      <t>ウツ</t>
    </rPh>
    <phoneticPr fontId="1"/>
  </si>
  <si>
    <t>③　様式2</t>
    <rPh sb="2" eb="4">
      <t>ヨウシキ</t>
    </rPh>
    <phoneticPr fontId="1"/>
  </si>
  <si>
    <t>⑤　園長が兼任している場合は様式5</t>
    <rPh sb="2" eb="4">
      <t>エンチョウ</t>
    </rPh>
    <rPh sb="5" eb="7">
      <t>ケンニン</t>
    </rPh>
    <rPh sb="11" eb="13">
      <t>バアイ</t>
    </rPh>
    <rPh sb="14" eb="16">
      <t>ヨウシキ</t>
    </rPh>
    <phoneticPr fontId="1"/>
  </si>
  <si>
    <t>外部搬入</t>
    <rPh sb="0" eb="2">
      <t>ガイブ</t>
    </rPh>
    <rPh sb="2" eb="4">
      <t>ハンニュウ</t>
    </rPh>
    <phoneticPr fontId="1"/>
  </si>
  <si>
    <t>自園調理(調理員雇用)</t>
    <rPh sb="0" eb="1">
      <t>ジ</t>
    </rPh>
    <rPh sb="1" eb="2">
      <t>エン</t>
    </rPh>
    <rPh sb="2" eb="4">
      <t>チョウリ</t>
    </rPh>
    <rPh sb="5" eb="8">
      <t>チョウリイン</t>
    </rPh>
    <rPh sb="8" eb="10">
      <t>コヨウ</t>
    </rPh>
    <phoneticPr fontId="1"/>
  </si>
  <si>
    <t>自園調理(外部委託)</t>
    <rPh sb="0" eb="1">
      <t>ジ</t>
    </rPh>
    <rPh sb="1" eb="2">
      <t>エン</t>
    </rPh>
    <rPh sb="2" eb="4">
      <t>チョウリ</t>
    </rPh>
    <rPh sb="5" eb="7">
      <t>ガイブ</t>
    </rPh>
    <rPh sb="7" eb="9">
      <t>イタク</t>
    </rPh>
    <phoneticPr fontId="1"/>
  </si>
  <si>
    <t>未実施</t>
    <rPh sb="0" eb="3">
      <t>ミジッシ</t>
    </rPh>
    <phoneticPr fontId="1"/>
  </si>
  <si>
    <t>給食を実施している</t>
    <rPh sb="0" eb="2">
      <t>キュウショク</t>
    </rPh>
    <rPh sb="3" eb="5">
      <t>ジッシ</t>
    </rPh>
    <phoneticPr fontId="1"/>
  </si>
  <si>
    <t>①</t>
    <phoneticPr fontId="1"/>
  </si>
  <si>
    <t>②</t>
    <phoneticPr fontId="1"/>
  </si>
  <si>
    <t>ア</t>
    <phoneticPr fontId="1"/>
  </si>
  <si>
    <t>イ</t>
    <phoneticPr fontId="1"/>
  </si>
  <si>
    <t>ウ</t>
    <phoneticPr fontId="1"/>
  </si>
  <si>
    <t>⇒</t>
    <phoneticPr fontId="1"/>
  </si>
  <si>
    <t>修業期間中の平均的な月当たりの実施日数＝給食の実施予定数÷修業日数×20日＝</t>
    <rPh sb="0" eb="2">
      <t>シュウギョウ</t>
    </rPh>
    <rPh sb="2" eb="5">
      <t>キカンチュウ</t>
    </rPh>
    <rPh sb="6" eb="9">
      <t>ヘイキンテキ</t>
    </rPh>
    <rPh sb="10" eb="12">
      <t>ツキア</t>
    </rPh>
    <rPh sb="15" eb="17">
      <t>ジッシ</t>
    </rPh>
    <rPh sb="17" eb="19">
      <t>ニッスウ</t>
    </rPh>
    <rPh sb="20" eb="22">
      <t>キュウショク</t>
    </rPh>
    <rPh sb="23" eb="25">
      <t>ジッシ</t>
    </rPh>
    <rPh sb="25" eb="27">
      <t>ヨテイ</t>
    </rPh>
    <rPh sb="27" eb="28">
      <t>スウ</t>
    </rPh>
    <rPh sb="29" eb="31">
      <t>シュウギョウ</t>
    </rPh>
    <rPh sb="31" eb="33">
      <t>ニッスウ</t>
    </rPh>
    <rPh sb="36" eb="37">
      <t>ニチ</t>
    </rPh>
    <phoneticPr fontId="1"/>
  </si>
  <si>
    <t>週当たりの実施日数【小数点第1位四捨五入】
（修業期間中の平均的な月当たりの実施日数÷4週）</t>
    <rPh sb="0" eb="1">
      <t>シュウ</t>
    </rPh>
    <rPh sb="1" eb="2">
      <t>ア</t>
    </rPh>
    <rPh sb="5" eb="7">
      <t>ジッシ</t>
    </rPh>
    <rPh sb="7" eb="9">
      <t>ニッスウ</t>
    </rPh>
    <rPh sb="10" eb="13">
      <t>ショウスウテン</t>
    </rPh>
    <rPh sb="13" eb="14">
      <t>ダイ</t>
    </rPh>
    <rPh sb="15" eb="16">
      <t>イ</t>
    </rPh>
    <rPh sb="16" eb="20">
      <t>シシャゴニュウ</t>
    </rPh>
    <rPh sb="23" eb="25">
      <t>シュウギョウ</t>
    </rPh>
    <phoneticPr fontId="1"/>
  </si>
  <si>
    <t>加算要件
以下のとおり
1：加算の適否
2：加算区分1
3：加算区分2</t>
    <rPh sb="0" eb="2">
      <t>カサン</t>
    </rPh>
    <rPh sb="2" eb="4">
      <t>ヨウケン</t>
    </rPh>
    <rPh sb="6" eb="8">
      <t>イカ</t>
    </rPh>
    <rPh sb="15" eb="17">
      <t>カサン</t>
    </rPh>
    <rPh sb="18" eb="20">
      <t>テキヒ</t>
    </rPh>
    <rPh sb="23" eb="25">
      <t>カサン</t>
    </rPh>
    <rPh sb="25" eb="27">
      <t>クブン</t>
    </rPh>
    <rPh sb="31" eb="33">
      <t>カサン</t>
    </rPh>
    <rPh sb="33" eb="35">
      <t>クブン</t>
    </rPh>
    <phoneticPr fontId="1"/>
  </si>
  <si>
    <t>(ｱ)</t>
    <phoneticPr fontId="1"/>
  </si>
  <si>
    <t>※1　区分は以下のとおりです。</t>
    <rPh sb="3" eb="5">
      <t>クブン</t>
    </rPh>
    <rPh sb="6" eb="8">
      <t>イカ</t>
    </rPh>
    <phoneticPr fontId="1"/>
  </si>
  <si>
    <t>実施体制(①又は②のどちらかを選択すること)※1</t>
    <rPh sb="0" eb="2">
      <t>ジッシ</t>
    </rPh>
    <rPh sb="2" eb="4">
      <t>タイセイ</t>
    </rPh>
    <rPh sb="6" eb="7">
      <t>マタ</t>
    </rPh>
    <rPh sb="15" eb="17">
      <t>センタク</t>
    </rPh>
    <phoneticPr fontId="1"/>
  </si>
  <si>
    <t>③　２-②を「○」にした場合は、委託等の状況が分かる書類(業務委託契約書等)</t>
    <rPh sb="12" eb="14">
      <t>バアイ</t>
    </rPh>
    <rPh sb="16" eb="18">
      <t>イタク</t>
    </rPh>
    <rPh sb="18" eb="19">
      <t>トウ</t>
    </rPh>
    <rPh sb="20" eb="22">
      <t>ジョウキョウ</t>
    </rPh>
    <rPh sb="23" eb="24">
      <t>ワ</t>
    </rPh>
    <rPh sb="26" eb="28">
      <t>ショルイ</t>
    </rPh>
    <rPh sb="29" eb="31">
      <t>ギョウム</t>
    </rPh>
    <rPh sb="31" eb="33">
      <t>イタク</t>
    </rPh>
    <rPh sb="33" eb="36">
      <t>ケイヤクショ</t>
    </rPh>
    <rPh sb="36" eb="37">
      <t>トウ</t>
    </rPh>
    <phoneticPr fontId="1"/>
  </si>
  <si>
    <t>以下の要件を満たす副食を提供している。</t>
    <rPh sb="0" eb="2">
      <t>イカ</t>
    </rPh>
    <rPh sb="3" eb="5">
      <t>ヨウケン</t>
    </rPh>
    <rPh sb="6" eb="7">
      <t>ミ</t>
    </rPh>
    <rPh sb="9" eb="11">
      <t>フクショク</t>
    </rPh>
    <rPh sb="12" eb="14">
      <t>テイキョウ</t>
    </rPh>
    <phoneticPr fontId="1"/>
  </si>
  <si>
    <t>加算要件
（１～２の要件全てに該当する場合に加算）</t>
    <rPh sb="0" eb="2">
      <t>カサン</t>
    </rPh>
    <rPh sb="2" eb="4">
      <t>ヨウケン</t>
    </rPh>
    <phoneticPr fontId="1"/>
  </si>
  <si>
    <t>　申請をする場合、毎月分提出すること。</t>
    <rPh sb="1" eb="3">
      <t>シンセイ</t>
    </rPh>
    <rPh sb="6" eb="8">
      <t>バアイ</t>
    </rPh>
    <rPh sb="9" eb="11">
      <t>マイツキ</t>
    </rPh>
    <rPh sb="11" eb="12">
      <t>ブン</t>
    </rPh>
    <rPh sb="12" eb="14">
      <t>テイシュツ</t>
    </rPh>
    <phoneticPr fontId="1"/>
  </si>
  <si>
    <t>ア</t>
    <phoneticPr fontId="1"/>
  </si>
  <si>
    <t>イ</t>
    <phoneticPr fontId="1"/>
  </si>
  <si>
    <t>②　</t>
    <phoneticPr fontId="1"/>
  </si>
  <si>
    <t>①　様式2/様式5</t>
    <rPh sb="2" eb="4">
      <t>ヨウシキ</t>
    </rPh>
    <rPh sb="6" eb="8">
      <t>ヨウシキ</t>
    </rPh>
    <phoneticPr fontId="1"/>
  </si>
  <si>
    <t>→　事務兼務の施設長等（業務委託の場合は不要)及び非常勤事務（専従）の計２名（業務委託の場合は１名）を配置している</t>
    <rPh sb="2" eb="4">
      <t>ジム</t>
    </rPh>
    <rPh sb="4" eb="6">
      <t>ケンム</t>
    </rPh>
    <rPh sb="7" eb="10">
      <t>シセツチョウ</t>
    </rPh>
    <rPh sb="10" eb="11">
      <t>トウ</t>
    </rPh>
    <rPh sb="12" eb="14">
      <t>ギョウム</t>
    </rPh>
    <rPh sb="14" eb="16">
      <t>イタク</t>
    </rPh>
    <rPh sb="17" eb="19">
      <t>バアイ</t>
    </rPh>
    <rPh sb="20" eb="22">
      <t>フヨウ</t>
    </rPh>
    <rPh sb="23" eb="24">
      <t>オヨ</t>
    </rPh>
    <rPh sb="25" eb="28">
      <t>ヒジョウキン</t>
    </rPh>
    <rPh sb="28" eb="30">
      <t>ジム</t>
    </rPh>
    <rPh sb="31" eb="33">
      <t>センジュウ</t>
    </rPh>
    <rPh sb="35" eb="36">
      <t>ケイ</t>
    </rPh>
    <rPh sb="37" eb="38">
      <t>メイ</t>
    </rPh>
    <rPh sb="39" eb="41">
      <t>ギョウム</t>
    </rPh>
    <rPh sb="41" eb="43">
      <t>イタク</t>
    </rPh>
    <rPh sb="44" eb="46">
      <t>バアイ</t>
    </rPh>
    <rPh sb="48" eb="49">
      <t>メイ</t>
    </rPh>
    <rPh sb="51" eb="53">
      <t>ハイチ</t>
    </rPh>
    <phoneticPr fontId="1"/>
  </si>
  <si>
    <t>主幹教諭等補助者を配置している（様式2）</t>
    <rPh sb="0" eb="2">
      <t>シュカン</t>
    </rPh>
    <rPh sb="2" eb="4">
      <t>キョウユ</t>
    </rPh>
    <rPh sb="4" eb="5">
      <t>トウ</t>
    </rPh>
    <rPh sb="5" eb="7">
      <t>ホジョ</t>
    </rPh>
    <rPh sb="7" eb="8">
      <t>シャ</t>
    </rPh>
    <rPh sb="9" eb="11">
      <t>ハイチ</t>
    </rPh>
    <rPh sb="16" eb="18">
      <t>ヨウシキ</t>
    </rPh>
    <phoneticPr fontId="1"/>
  </si>
  <si>
    <t>【様式4】</t>
    <rPh sb="1" eb="3">
      <t>ヨウシキ</t>
    </rPh>
    <phoneticPr fontId="1"/>
  </si>
  <si>
    <t>日数</t>
    <rPh sb="0" eb="2">
      <t>ニッスウ</t>
    </rPh>
    <phoneticPr fontId="1"/>
  </si>
  <si>
    <t>②　当該様式は、本市～施設間で加算認定の齟齬を確認するための様式です。当該様式を申請書に代えて使用することはできませんのでご注意ください。</t>
    <phoneticPr fontId="1"/>
  </si>
  <si>
    <t>１　副園長・教頭の経歴</t>
    <rPh sb="2" eb="5">
      <t>フクエンチョウ</t>
    </rPh>
    <rPh sb="6" eb="8">
      <t>キョウトウ</t>
    </rPh>
    <rPh sb="9" eb="11">
      <t>ケイレキ</t>
    </rPh>
    <phoneticPr fontId="1"/>
  </si>
  <si>
    <t>⑤</t>
    <phoneticPr fontId="1"/>
  </si>
  <si>
    <t>ア</t>
    <phoneticPr fontId="1"/>
  </si>
  <si>
    <t>イ</t>
    <phoneticPr fontId="1"/>
  </si>
  <si>
    <t>担当職員名</t>
    <rPh sb="0" eb="2">
      <t>タントウ</t>
    </rPh>
    <rPh sb="2" eb="4">
      <t>ショクイン</t>
    </rPh>
    <rPh sb="4" eb="5">
      <t>メイ</t>
    </rPh>
    <phoneticPr fontId="1"/>
  </si>
  <si>
    <t>ウ</t>
    <phoneticPr fontId="1"/>
  </si>
  <si>
    <t>　年間を通じた継続的な小学校との連携・接続に係る取り組み</t>
    <rPh sb="1" eb="3">
      <t>ネンカン</t>
    </rPh>
    <rPh sb="4" eb="5">
      <t>ツウ</t>
    </rPh>
    <rPh sb="7" eb="10">
      <t>ケイゾクテキ</t>
    </rPh>
    <rPh sb="11" eb="14">
      <t>ショウガッコウ</t>
    </rPh>
    <rPh sb="16" eb="18">
      <t>レンケイ</t>
    </rPh>
    <rPh sb="19" eb="21">
      <t>セツゾク</t>
    </rPh>
    <rPh sb="22" eb="23">
      <t>カカ</t>
    </rPh>
    <rPh sb="24" eb="25">
      <t>ト</t>
    </rPh>
    <rPh sb="26" eb="27">
      <t>ク</t>
    </rPh>
    <phoneticPr fontId="1"/>
  </si>
  <si>
    <t>02幼稚園</t>
  </si>
  <si>
    <t>様式4/様式5</t>
    <rPh sb="0" eb="2">
      <t>ヨウシキ</t>
    </rPh>
    <rPh sb="4" eb="6">
      <t>ヨウシキ</t>
    </rPh>
    <phoneticPr fontId="1"/>
  </si>
  <si>
    <t>①　職員氏名</t>
    <rPh sb="2" eb="4">
      <t>ショクイン</t>
    </rPh>
    <rPh sb="4" eb="6">
      <t>シメイ</t>
    </rPh>
    <phoneticPr fontId="3"/>
  </si>
  <si>
    <t>３月のみ加算（区分）</t>
    <rPh sb="1" eb="2">
      <t>ガツ</t>
    </rPh>
    <rPh sb="4" eb="6">
      <t>カサン</t>
    </rPh>
    <rPh sb="7" eb="9">
      <t>クブン</t>
    </rPh>
    <phoneticPr fontId="1"/>
  </si>
  <si>
    <t>　特定教育・保育等に要する費用の額の算定に係る職員数算出表</t>
    <phoneticPr fontId="1"/>
  </si>
  <si>
    <t>①で【×】を選択した場合＞＞
　幼稚園設置基準第5条第3項に規定する教員を別に配置していること（様式5）</t>
    <rPh sb="6" eb="8">
      <t>センタク</t>
    </rPh>
    <rPh sb="10" eb="12">
      <t>バアイ</t>
    </rPh>
    <rPh sb="37" eb="38">
      <t>ベツ</t>
    </rPh>
    <rPh sb="39" eb="41">
      <t>ハイチ</t>
    </rPh>
    <rPh sb="48" eb="50">
      <t>ヨウシキ</t>
    </rPh>
    <phoneticPr fontId="1"/>
  </si>
  <si>
    <t>【×】を選択した場合＞＞
　当該園の園長職について、本務（専従）である</t>
    <rPh sb="4" eb="6">
      <t>センタク</t>
    </rPh>
    <rPh sb="8" eb="10">
      <t>バアイ</t>
    </rPh>
    <rPh sb="14" eb="16">
      <t>トウガイ</t>
    </rPh>
    <rPh sb="16" eb="17">
      <t>エン</t>
    </rPh>
    <rPh sb="18" eb="20">
      <t>エンチョウ</t>
    </rPh>
    <rPh sb="20" eb="21">
      <t>ショク</t>
    </rPh>
    <rPh sb="26" eb="28">
      <t>ホンム</t>
    </rPh>
    <rPh sb="29" eb="31">
      <t>センジュウ</t>
    </rPh>
    <phoneticPr fontId="1"/>
  </si>
  <si>
    <t>他の学園の園長との兼務していない
（兼務している⇒×／兼務していない⇒○）</t>
    <rPh sb="0" eb="1">
      <t>タ</t>
    </rPh>
    <rPh sb="2" eb="4">
      <t>ガクエン</t>
    </rPh>
    <rPh sb="5" eb="7">
      <t>エンチョウ</t>
    </rPh>
    <rPh sb="9" eb="11">
      <t>ケンム</t>
    </rPh>
    <rPh sb="18" eb="20">
      <t>ケンム</t>
    </rPh>
    <rPh sb="27" eb="29">
      <t>ケンム</t>
    </rPh>
    <phoneticPr fontId="1"/>
  </si>
  <si>
    <t>副担任等の学級担任以外の教員を配置、少人数の学級編成を行う等低年齢児を中心として小集団化したグループ教育を実施している（様式4）</t>
    <rPh sb="0" eb="3">
      <t>フクタンニン</t>
    </rPh>
    <rPh sb="3" eb="4">
      <t>トウ</t>
    </rPh>
    <rPh sb="5" eb="7">
      <t>ガッキュウ</t>
    </rPh>
    <rPh sb="7" eb="9">
      <t>タンニン</t>
    </rPh>
    <rPh sb="9" eb="11">
      <t>イガイ</t>
    </rPh>
    <rPh sb="12" eb="14">
      <t>キョウイン</t>
    </rPh>
    <rPh sb="15" eb="17">
      <t>ハイチ</t>
    </rPh>
    <rPh sb="18" eb="21">
      <t>ショウニンズウ</t>
    </rPh>
    <rPh sb="22" eb="24">
      <t>ガッキュウ</t>
    </rPh>
    <rPh sb="24" eb="26">
      <t>ヘンセイ</t>
    </rPh>
    <rPh sb="27" eb="28">
      <t>オコナ</t>
    </rPh>
    <rPh sb="29" eb="30">
      <t>ナド</t>
    </rPh>
    <rPh sb="30" eb="33">
      <t>テイネンレイ</t>
    </rPh>
    <rPh sb="33" eb="34">
      <t>ジ</t>
    </rPh>
    <rPh sb="35" eb="37">
      <t>チュウシン</t>
    </rPh>
    <rPh sb="40" eb="44">
      <t>ショウシュウダンカ</t>
    </rPh>
    <rPh sb="50" eb="52">
      <t>キョウイク</t>
    </rPh>
    <rPh sb="53" eb="55">
      <t>ジッシ</t>
    </rPh>
    <rPh sb="60" eb="62">
      <t>ヨウシキ</t>
    </rPh>
    <phoneticPr fontId="1"/>
  </si>
  <si>
    <t>利用子どもの通園の便宜のために送迎を行っている</t>
    <rPh sb="0" eb="2">
      <t>リヨウ</t>
    </rPh>
    <rPh sb="2" eb="3">
      <t>コ</t>
    </rPh>
    <rPh sb="6" eb="8">
      <t>ツウエン</t>
    </rPh>
    <rPh sb="9" eb="11">
      <t>ベンギ</t>
    </rPh>
    <rPh sb="15" eb="17">
      <t>ソウゲイ</t>
    </rPh>
    <rPh sb="18" eb="19">
      <t>オコナ</t>
    </rPh>
    <phoneticPr fontId="1"/>
  </si>
  <si>
    <t>　主幹教諭等専任加算の対象施設である</t>
    <rPh sb="1" eb="3">
      <t>シュカン</t>
    </rPh>
    <rPh sb="3" eb="5">
      <t>キョウユ</t>
    </rPh>
    <rPh sb="5" eb="6">
      <t>トウ</t>
    </rPh>
    <rPh sb="6" eb="8">
      <t>センニン</t>
    </rPh>
    <rPh sb="8" eb="10">
      <t>カサン</t>
    </rPh>
    <rPh sb="11" eb="13">
      <t>タイショウ</t>
    </rPh>
    <rPh sb="13" eb="15">
      <t>シセツ</t>
    </rPh>
    <phoneticPr fontId="1"/>
  </si>
  <si>
    <t>　地域の子育て支援活動等に取り組んでいる</t>
    <rPh sb="1" eb="3">
      <t>チイキ</t>
    </rPh>
    <rPh sb="4" eb="6">
      <t>コソダ</t>
    </rPh>
    <rPh sb="7" eb="9">
      <t>シエン</t>
    </rPh>
    <rPh sb="9" eb="11">
      <t>カツドウ</t>
    </rPh>
    <rPh sb="11" eb="12">
      <t>トウ</t>
    </rPh>
    <rPh sb="13" eb="14">
      <t>ト</t>
    </rPh>
    <rPh sb="15" eb="16">
      <t>ク</t>
    </rPh>
    <phoneticPr fontId="1"/>
  </si>
  <si>
    <t>地域住民からの障がい児保育相談や地域の障がい児の子育て支援活動等に取り組んでいる</t>
    <rPh sb="31" eb="32">
      <t>トウ</t>
    </rPh>
    <rPh sb="33" eb="34">
      <t>ト</t>
    </rPh>
    <rPh sb="35" eb="36">
      <t>ク</t>
    </rPh>
    <phoneticPr fontId="1"/>
  </si>
  <si>
    <t>→　常勤事務、非常勤事務及び非常勤事務（専従）の計３名を配置している</t>
    <rPh sb="2" eb="4">
      <t>ジョウキン</t>
    </rPh>
    <rPh sb="4" eb="6">
      <t>ジム</t>
    </rPh>
    <rPh sb="7" eb="10">
      <t>ヒジョウキン</t>
    </rPh>
    <rPh sb="10" eb="12">
      <t>ジム</t>
    </rPh>
    <rPh sb="12" eb="13">
      <t>オヨ</t>
    </rPh>
    <rPh sb="14" eb="17">
      <t>ヒジョウキン</t>
    </rPh>
    <rPh sb="17" eb="19">
      <t>ジム</t>
    </rPh>
    <rPh sb="20" eb="22">
      <t>センジュウ</t>
    </rPh>
    <rPh sb="24" eb="25">
      <t>ケイ</t>
    </rPh>
    <rPh sb="26" eb="27">
      <t>メイ</t>
    </rPh>
    <rPh sb="28" eb="30">
      <t>ハイチ</t>
    </rPh>
    <phoneticPr fontId="1"/>
  </si>
  <si>
    <t>利用定員271人以上である</t>
    <rPh sb="0" eb="2">
      <t>リヨウ</t>
    </rPh>
    <rPh sb="2" eb="4">
      <t>テイイン</t>
    </rPh>
    <rPh sb="7" eb="10">
      <t>ニンイジョウ</t>
    </rPh>
    <phoneticPr fontId="1"/>
  </si>
  <si>
    <t>事務職員配置加算を取得している</t>
    <rPh sb="0" eb="2">
      <t>ジム</t>
    </rPh>
    <rPh sb="2" eb="4">
      <t>ショクイン</t>
    </rPh>
    <rPh sb="4" eb="6">
      <t>ハイチ</t>
    </rPh>
    <rPh sb="6" eb="8">
      <t>カサン</t>
    </rPh>
    <rPh sb="9" eb="11">
      <t>シュトク</t>
    </rPh>
    <phoneticPr fontId="1"/>
  </si>
  <si>
    <t>　・同一又は系列法人内で運営する施設について全て記載すること</t>
    <rPh sb="2" eb="4">
      <t>ドウイツ</t>
    </rPh>
    <rPh sb="4" eb="5">
      <t>マタ</t>
    </rPh>
    <rPh sb="6" eb="8">
      <t>ケイレツ</t>
    </rPh>
    <rPh sb="8" eb="10">
      <t>ホウジン</t>
    </rPh>
    <rPh sb="10" eb="11">
      <t>ナイ</t>
    </rPh>
    <rPh sb="12" eb="14">
      <t>ウンエイ</t>
    </rPh>
    <rPh sb="16" eb="18">
      <t>シセツ</t>
    </rPh>
    <rPh sb="22" eb="23">
      <t>スベ</t>
    </rPh>
    <rPh sb="24" eb="26">
      <t>キサイ</t>
    </rPh>
    <phoneticPr fontId="1"/>
  </si>
  <si>
    <t>　・施設の認可の有無は問わない(認可・認可外施設全て含んで、園長を兼務しているかどうかを確認します。)</t>
    <rPh sb="2" eb="4">
      <t>シセツ</t>
    </rPh>
    <rPh sb="5" eb="7">
      <t>ニンカ</t>
    </rPh>
    <rPh sb="8" eb="10">
      <t>ウム</t>
    </rPh>
    <rPh sb="11" eb="12">
      <t>ト</t>
    </rPh>
    <rPh sb="16" eb="18">
      <t>ニンカ</t>
    </rPh>
    <rPh sb="19" eb="21">
      <t>ニンカ</t>
    </rPh>
    <rPh sb="21" eb="22">
      <t>ガイ</t>
    </rPh>
    <rPh sb="22" eb="24">
      <t>シセツ</t>
    </rPh>
    <rPh sb="24" eb="25">
      <t>スベ</t>
    </rPh>
    <rPh sb="26" eb="27">
      <t>フク</t>
    </rPh>
    <rPh sb="30" eb="32">
      <t>エンチョウ</t>
    </rPh>
    <rPh sb="33" eb="35">
      <t>ケンム</t>
    </rPh>
    <rPh sb="44" eb="46">
      <t>カクニン</t>
    </rPh>
    <phoneticPr fontId="1"/>
  </si>
  <si>
    <t>日数</t>
    <rPh sb="0" eb="2">
      <t>ニッスウ</t>
    </rPh>
    <phoneticPr fontId="1"/>
  </si>
  <si>
    <t>区分</t>
    <rPh sb="0" eb="2">
      <t>クブン</t>
    </rPh>
    <phoneticPr fontId="1"/>
  </si>
  <si>
    <t>減算数</t>
    <rPh sb="0" eb="2">
      <t>ゲンサン</t>
    </rPh>
    <rPh sb="2" eb="3">
      <t>スウ</t>
    </rPh>
    <phoneticPr fontId="1"/>
  </si>
  <si>
    <t>2級地</t>
    <rPh sb="1" eb="2">
      <t>キュウ</t>
    </rPh>
    <rPh sb="2" eb="3">
      <t>チ</t>
    </rPh>
    <phoneticPr fontId="1"/>
  </si>
  <si>
    <t>様式名</t>
    <rPh sb="0" eb="2">
      <t>ヨウシキ</t>
    </rPh>
    <rPh sb="2" eb="3">
      <t>メイ</t>
    </rPh>
    <phoneticPr fontId="1"/>
  </si>
  <si>
    <t>(2)　様式1(個票)：申請する加算入力(一部様式2～5の入力状況を引用)</t>
    <rPh sb="4" eb="6">
      <t>ヨウシキ</t>
    </rPh>
    <rPh sb="8" eb="9">
      <t>コ</t>
    </rPh>
    <rPh sb="9" eb="10">
      <t>ヒョウ</t>
    </rPh>
    <rPh sb="12" eb="14">
      <t>シンセイ</t>
    </rPh>
    <rPh sb="16" eb="18">
      <t>カサン</t>
    </rPh>
    <rPh sb="18" eb="20">
      <t>ニュウリョク</t>
    </rPh>
    <rPh sb="21" eb="23">
      <t>イチブ</t>
    </rPh>
    <rPh sb="23" eb="25">
      <t>ヨウシキ</t>
    </rPh>
    <rPh sb="29" eb="31">
      <t>ニュウリョク</t>
    </rPh>
    <rPh sb="31" eb="33">
      <t>ジョウキョウ</t>
    </rPh>
    <rPh sb="34" eb="36">
      <t>インヨウ</t>
    </rPh>
    <phoneticPr fontId="1"/>
  </si>
  <si>
    <t>(4)　様式2：月初日時点の職員配置を入力</t>
    <rPh sb="4" eb="6">
      <t>ヨウシキ</t>
    </rPh>
    <rPh sb="8" eb="9">
      <t>ツキ</t>
    </rPh>
    <rPh sb="9" eb="11">
      <t>ショニチ</t>
    </rPh>
    <rPh sb="11" eb="13">
      <t>ジテン</t>
    </rPh>
    <rPh sb="14" eb="16">
      <t>ショクイン</t>
    </rPh>
    <rPh sb="16" eb="18">
      <t>ハイチ</t>
    </rPh>
    <rPh sb="19" eb="21">
      <t>ニュウリョク</t>
    </rPh>
    <phoneticPr fontId="1"/>
  </si>
  <si>
    <t>(5)　様式3：非常勤職員がいる場合は、該当月の勤務予定時間を入力</t>
    <rPh sb="4" eb="6">
      <t>ヨウシキ</t>
    </rPh>
    <rPh sb="8" eb="11">
      <t>ヒジョウキン</t>
    </rPh>
    <rPh sb="11" eb="13">
      <t>ショクイン</t>
    </rPh>
    <rPh sb="16" eb="18">
      <t>バアイ</t>
    </rPh>
    <rPh sb="20" eb="22">
      <t>ガイトウ</t>
    </rPh>
    <rPh sb="22" eb="23">
      <t>ツキ</t>
    </rPh>
    <rPh sb="24" eb="26">
      <t>キンム</t>
    </rPh>
    <rPh sb="26" eb="28">
      <t>ヨテイ</t>
    </rPh>
    <rPh sb="28" eb="30">
      <t>ジカン</t>
    </rPh>
    <rPh sb="31" eb="33">
      <t>ニュウリョク</t>
    </rPh>
    <phoneticPr fontId="1"/>
  </si>
  <si>
    <t>(6)　様式4：クラス編成状況を記載</t>
    <rPh sb="4" eb="6">
      <t>ヨウシキ</t>
    </rPh>
    <rPh sb="11" eb="13">
      <t>ヘンセイ</t>
    </rPh>
    <rPh sb="13" eb="15">
      <t>ジョウキョウ</t>
    </rPh>
    <rPh sb="16" eb="18">
      <t>キサイ</t>
    </rPh>
    <phoneticPr fontId="1"/>
  </si>
  <si>
    <t>(9)　様式6：年度開始月(4月)～申請月までを埋める</t>
    <rPh sb="4" eb="6">
      <t>ヨウシキ</t>
    </rPh>
    <rPh sb="8" eb="10">
      <t>ネンド</t>
    </rPh>
    <rPh sb="10" eb="12">
      <t>カイシ</t>
    </rPh>
    <rPh sb="12" eb="13">
      <t>ツキ</t>
    </rPh>
    <rPh sb="15" eb="16">
      <t>ガツ</t>
    </rPh>
    <rPh sb="18" eb="20">
      <t>シンセイ</t>
    </rPh>
    <rPh sb="20" eb="21">
      <t>ツキ</t>
    </rPh>
    <rPh sb="24" eb="25">
      <t>ウ</t>
    </rPh>
    <phoneticPr fontId="1"/>
  </si>
  <si>
    <t>現施設の副施設長・教頭に就任～現在に至る</t>
    <rPh sb="0" eb="1">
      <t>ゲン</t>
    </rPh>
    <rPh sb="1" eb="3">
      <t>シセツ</t>
    </rPh>
    <rPh sb="4" eb="8">
      <t>フクシセツチョウ</t>
    </rPh>
    <rPh sb="9" eb="11">
      <t>キョウトウ</t>
    </rPh>
    <rPh sb="12" eb="14">
      <t>シュウニン</t>
    </rPh>
    <rPh sb="15" eb="17">
      <t>ゲンザイ</t>
    </rPh>
    <rPh sb="18" eb="19">
      <t>イタ</t>
    </rPh>
    <phoneticPr fontId="1"/>
  </si>
  <si>
    <t>01私立</t>
    <phoneticPr fontId="1"/>
  </si>
  <si>
    <t>02幼稚園</t>
    <phoneticPr fontId="1"/>
  </si>
  <si>
    <t>幼</t>
    <phoneticPr fontId="1"/>
  </si>
  <si>
    <t>中央区</t>
    <phoneticPr fontId="1"/>
  </si>
  <si>
    <t>札幌市未来局幼稚園【例】</t>
    <rPh sb="0" eb="3">
      <t>サッポロシ</t>
    </rPh>
    <rPh sb="3" eb="5">
      <t>ミライ</t>
    </rPh>
    <rPh sb="5" eb="6">
      <t>キョク</t>
    </rPh>
    <rPh sb="6" eb="9">
      <t>ヨウチエン</t>
    </rPh>
    <rPh sb="10" eb="11">
      <t>レイ</t>
    </rPh>
    <phoneticPr fontId="1"/>
  </si>
  <si>
    <t>ソート①</t>
    <phoneticPr fontId="1"/>
  </si>
  <si>
    <t>ソート②</t>
    <phoneticPr fontId="1"/>
  </si>
  <si>
    <t>(1)　様式1(総括表)：申請月、所在区、施設名入力→利用定員が正しいか確認</t>
    <rPh sb="4" eb="6">
      <t>ヨウシキ</t>
    </rPh>
    <rPh sb="8" eb="11">
      <t>ソウカツヒョウ</t>
    </rPh>
    <rPh sb="13" eb="15">
      <t>シンセイ</t>
    </rPh>
    <rPh sb="15" eb="16">
      <t>ツキ</t>
    </rPh>
    <rPh sb="17" eb="19">
      <t>ショザイ</t>
    </rPh>
    <rPh sb="19" eb="20">
      <t>ク</t>
    </rPh>
    <rPh sb="21" eb="23">
      <t>シセツ</t>
    </rPh>
    <rPh sb="23" eb="24">
      <t>メイ</t>
    </rPh>
    <rPh sb="24" eb="26">
      <t>ニュウリョク</t>
    </rPh>
    <rPh sb="27" eb="29">
      <t>リヨウ</t>
    </rPh>
    <rPh sb="29" eb="31">
      <t>テイイン</t>
    </rPh>
    <rPh sb="32" eb="33">
      <t>タダ</t>
    </rPh>
    <rPh sb="36" eb="38">
      <t>カクニン</t>
    </rPh>
    <phoneticPr fontId="1"/>
  </si>
  <si>
    <t>超過1/未超過2</t>
    <rPh sb="0" eb="2">
      <t>チョウカ</t>
    </rPh>
    <rPh sb="4" eb="5">
      <t>ミ</t>
    </rPh>
    <rPh sb="5" eb="7">
      <t>チョウカ</t>
    </rPh>
    <phoneticPr fontId="1"/>
  </si>
  <si>
    <t>園長等が兼務(様式2-③加算等担当職員で該当職員を選択してください)</t>
    <rPh sb="0" eb="2">
      <t>エンチョウ</t>
    </rPh>
    <rPh sb="2" eb="3">
      <t>トウ</t>
    </rPh>
    <rPh sb="4" eb="6">
      <t>ケンム</t>
    </rPh>
    <phoneticPr fontId="1"/>
  </si>
  <si>
    <t>副食の全てを提供している。
※　おやつや牛乳のみなど、副食の一部を提供する場合は対象外</t>
    <rPh sb="0" eb="2">
      <t>フクショク</t>
    </rPh>
    <rPh sb="3" eb="4">
      <t>スベ</t>
    </rPh>
    <rPh sb="6" eb="8">
      <t>テイキョウ</t>
    </rPh>
    <rPh sb="37" eb="39">
      <t>バアイ</t>
    </rPh>
    <phoneticPr fontId="1"/>
  </si>
  <si>
    <t>年月日</t>
    <rPh sb="0" eb="3">
      <t>ネンガッピ</t>
    </rPh>
    <phoneticPr fontId="1"/>
  </si>
  <si>
    <t>※　区分は以下のとおり。</t>
    <rPh sb="2" eb="4">
      <t>クブン</t>
    </rPh>
    <rPh sb="5" eb="7">
      <t>イカ</t>
    </rPh>
    <phoneticPr fontId="1"/>
  </si>
  <si>
    <t>基本分単価や他の加算の認定に当たって求められる職員が、本加算に係る栄養士としての業務を兼務している場合</t>
    <rPh sb="0" eb="2">
      <t>キホン</t>
    </rPh>
    <rPh sb="2" eb="3">
      <t>ブン</t>
    </rPh>
    <rPh sb="3" eb="5">
      <t>タンカ</t>
    </rPh>
    <rPh sb="6" eb="7">
      <t>タ</t>
    </rPh>
    <rPh sb="8" eb="10">
      <t>カサン</t>
    </rPh>
    <rPh sb="11" eb="13">
      <t>ニンテイ</t>
    </rPh>
    <rPh sb="14" eb="15">
      <t>ア</t>
    </rPh>
    <rPh sb="18" eb="19">
      <t>モト</t>
    </rPh>
    <rPh sb="23" eb="25">
      <t>ショクイン</t>
    </rPh>
    <rPh sb="27" eb="28">
      <t>ホン</t>
    </rPh>
    <rPh sb="28" eb="30">
      <t>カサン</t>
    </rPh>
    <rPh sb="31" eb="32">
      <t>カカ</t>
    </rPh>
    <rPh sb="33" eb="36">
      <t>エイヨウシ</t>
    </rPh>
    <rPh sb="40" eb="42">
      <t>ギョウム</t>
    </rPh>
    <rPh sb="43" eb="45">
      <t>ケンム</t>
    </rPh>
    <rPh sb="49" eb="51">
      <t>バアイ</t>
    </rPh>
    <phoneticPr fontId="1"/>
  </si>
  <si>
    <t>嘱託</t>
    <rPh sb="0" eb="2">
      <t>ショクタク</t>
    </rPh>
    <phoneticPr fontId="1"/>
  </si>
  <si>
    <t>雇用契約等により配置（様式2及び様式5）</t>
    <rPh sb="0" eb="2">
      <t>コヨウ</t>
    </rPh>
    <rPh sb="2" eb="4">
      <t>ケイヤク</t>
    </rPh>
    <rPh sb="4" eb="5">
      <t>トウ</t>
    </rPh>
    <rPh sb="8" eb="10">
      <t>ハイチ</t>
    </rPh>
    <rPh sb="11" eb="13">
      <t>ヨウシキ</t>
    </rPh>
    <rPh sb="14" eb="15">
      <t>オヨ</t>
    </rPh>
    <rPh sb="16" eb="18">
      <t>ヨウシキ</t>
    </rPh>
    <phoneticPr fontId="1"/>
  </si>
  <si>
    <t>嘱託等により活用</t>
    <rPh sb="0" eb="2">
      <t>ショクタク</t>
    </rPh>
    <rPh sb="2" eb="3">
      <t>トウ</t>
    </rPh>
    <rPh sb="6" eb="8">
      <t>カツヨウ</t>
    </rPh>
    <phoneticPr fontId="1"/>
  </si>
  <si>
    <t>配置（他の加算で配置する調理員等と重複しない配置）</t>
    <rPh sb="0" eb="2">
      <t>ハイチ</t>
    </rPh>
    <rPh sb="3" eb="4">
      <t>タ</t>
    </rPh>
    <rPh sb="5" eb="7">
      <t>カサン</t>
    </rPh>
    <rPh sb="8" eb="10">
      <t>ハイチ</t>
    </rPh>
    <rPh sb="12" eb="15">
      <t>チョウリイン</t>
    </rPh>
    <rPh sb="15" eb="16">
      <t>トウ</t>
    </rPh>
    <rPh sb="17" eb="19">
      <t>チョウフク</t>
    </rPh>
    <rPh sb="22" eb="24">
      <t>ハイチ</t>
    </rPh>
    <phoneticPr fontId="1"/>
  </si>
  <si>
    <t>加算要件
(1～2の適用状況に応じて、適合した配置区分を加算)</t>
    <rPh sb="0" eb="2">
      <t>カサン</t>
    </rPh>
    <rPh sb="2" eb="4">
      <t>ヨウケン</t>
    </rPh>
    <rPh sb="10" eb="12">
      <t>テキヨウ</t>
    </rPh>
    <rPh sb="12" eb="14">
      <t>ジョウキョウ</t>
    </rPh>
    <rPh sb="15" eb="16">
      <t>オウ</t>
    </rPh>
    <rPh sb="19" eb="21">
      <t>テキゴウ</t>
    </rPh>
    <rPh sb="23" eb="25">
      <t>ハイチ</t>
    </rPh>
    <rPh sb="25" eb="27">
      <t>クブン</t>
    </rPh>
    <rPh sb="28" eb="30">
      <t>カサン</t>
    </rPh>
    <phoneticPr fontId="1"/>
  </si>
  <si>
    <t>列1</t>
    <phoneticPr fontId="1"/>
  </si>
  <si>
    <t>(2) (1)を端数処理（※①）</t>
    <rPh sb="8" eb="10">
      <t>ハスウ</t>
    </rPh>
    <rPh sb="10" eb="12">
      <t>ショリ</t>
    </rPh>
    <phoneticPr fontId="1"/>
  </si>
  <si>
    <t>(3) チーム保育加配加算の上限人数（※②）</t>
    <rPh sb="7" eb="9">
      <t>ホイク</t>
    </rPh>
    <rPh sb="9" eb="11">
      <t>カハイ</t>
    </rPh>
    <rPh sb="11" eb="13">
      <t>カサン</t>
    </rPh>
    <rPh sb="14" eb="16">
      <t>ジョウゲン</t>
    </rPh>
    <rPh sb="16" eb="18">
      <t>ニンズウ</t>
    </rPh>
    <phoneticPr fontId="1"/>
  </si>
  <si>
    <t>　 （※①）上の欄の基礎数により以下の端数処理を行った値を記入してください。</t>
    <rPh sb="6" eb="7">
      <t>ウエ</t>
    </rPh>
    <rPh sb="8" eb="9">
      <t>ラン</t>
    </rPh>
    <rPh sb="10" eb="12">
      <t>キソ</t>
    </rPh>
    <rPh sb="12" eb="13">
      <t>スウ</t>
    </rPh>
    <rPh sb="16" eb="18">
      <t>イカ</t>
    </rPh>
    <rPh sb="19" eb="21">
      <t>ハスウ</t>
    </rPh>
    <rPh sb="21" eb="23">
      <t>ショリ</t>
    </rPh>
    <rPh sb="24" eb="25">
      <t>オコナ</t>
    </rPh>
    <rPh sb="27" eb="28">
      <t>アタイ</t>
    </rPh>
    <rPh sb="29" eb="31">
      <t>キニュウ</t>
    </rPh>
    <phoneticPr fontId="1"/>
  </si>
  <si>
    <t xml:space="preserve"> 　・　基礎数が3人未満の場合</t>
    <rPh sb="9" eb="10">
      <t>ヒト</t>
    </rPh>
    <rPh sb="10" eb="12">
      <t>ミマン</t>
    </rPh>
    <rPh sb="13" eb="15">
      <t>バアイ</t>
    </rPh>
    <phoneticPr fontId="1"/>
  </si>
  <si>
    <t>　 ・　基礎数が3人以上の場合</t>
    <rPh sb="9" eb="10">
      <t>ヒト</t>
    </rPh>
    <rPh sb="10" eb="12">
      <t>イジョウ</t>
    </rPh>
    <rPh sb="13" eb="15">
      <t>バアイ</t>
    </rPh>
    <phoneticPr fontId="1"/>
  </si>
  <si>
    <t>　 （※②）　利用定員区分ごとの上限人数</t>
    <rPh sb="16" eb="18">
      <t>ジョウゲン</t>
    </rPh>
    <rPh sb="18" eb="20">
      <t>ニンズウ</t>
    </rPh>
    <phoneticPr fontId="1"/>
  </si>
  <si>
    <t>月</t>
    <rPh sb="0" eb="1">
      <t>ガツ</t>
    </rPh>
    <phoneticPr fontId="1"/>
  </si>
  <si>
    <t>(ｲ)</t>
    <phoneticPr fontId="1"/>
  </si>
  <si>
    <t>安全・衛生面、栄養面、食育等の観点から施設の管理者が業務上必要な注意を果たしえるような体制及び契約内容により、調理業務を委託している</t>
    <rPh sb="0" eb="2">
      <t>アンゼン</t>
    </rPh>
    <rPh sb="3" eb="6">
      <t>エイセイメン</t>
    </rPh>
    <rPh sb="7" eb="9">
      <t>エイヨウ</t>
    </rPh>
    <rPh sb="9" eb="10">
      <t>メン</t>
    </rPh>
    <rPh sb="11" eb="13">
      <t>ショクイク</t>
    </rPh>
    <rPh sb="13" eb="14">
      <t>トウ</t>
    </rPh>
    <rPh sb="15" eb="17">
      <t>カンテン</t>
    </rPh>
    <rPh sb="19" eb="21">
      <t>シセツ</t>
    </rPh>
    <rPh sb="22" eb="25">
      <t>カンリシャ</t>
    </rPh>
    <rPh sb="26" eb="29">
      <t>ギョウムジョウ</t>
    </rPh>
    <rPh sb="29" eb="31">
      <t>ヒツヨウ</t>
    </rPh>
    <rPh sb="32" eb="34">
      <t>チュウイ</t>
    </rPh>
    <rPh sb="35" eb="36">
      <t>ハタ</t>
    </rPh>
    <rPh sb="43" eb="45">
      <t>タイセイ</t>
    </rPh>
    <rPh sb="45" eb="46">
      <t>オヨ</t>
    </rPh>
    <rPh sb="47" eb="49">
      <t>ケイヤク</t>
    </rPh>
    <rPh sb="49" eb="51">
      <t>ナイヨウ</t>
    </rPh>
    <rPh sb="55" eb="57">
      <t>チョウリ</t>
    </rPh>
    <rPh sb="57" eb="59">
      <t>ギョウム</t>
    </rPh>
    <rPh sb="60" eb="62">
      <t>イタク</t>
    </rPh>
    <phoneticPr fontId="1"/>
  </si>
  <si>
    <t>施設内の調理設備を使用してきめ細かに調理を行っている場合</t>
    <rPh sb="0" eb="2">
      <t>シセツ</t>
    </rPh>
    <rPh sb="2" eb="3">
      <t>ナイ</t>
    </rPh>
    <rPh sb="4" eb="6">
      <t>チョウリ</t>
    </rPh>
    <rPh sb="6" eb="8">
      <t>セツビ</t>
    </rPh>
    <rPh sb="9" eb="11">
      <t>シヨウ</t>
    </rPh>
    <rPh sb="15" eb="16">
      <t>コマ</t>
    </rPh>
    <rPh sb="18" eb="20">
      <t>チョウリ</t>
    </rPh>
    <rPh sb="21" eb="22">
      <t>オコナ</t>
    </rPh>
    <rPh sb="26" eb="28">
      <t>バアイ</t>
    </rPh>
    <phoneticPr fontId="1"/>
  </si>
  <si>
    <t>施設外で調理して施設に搬入する方法により給食を実施している場合
（搬入後に施設内で喫食温度に加温し提供する場合を含む）</t>
    <rPh sb="0" eb="2">
      <t>シセツ</t>
    </rPh>
    <rPh sb="2" eb="3">
      <t>ガイ</t>
    </rPh>
    <rPh sb="4" eb="6">
      <t>チョウリ</t>
    </rPh>
    <rPh sb="8" eb="10">
      <t>シセツ</t>
    </rPh>
    <rPh sb="11" eb="13">
      <t>ハンニュウ</t>
    </rPh>
    <rPh sb="15" eb="17">
      <t>ホウホウ</t>
    </rPh>
    <rPh sb="20" eb="22">
      <t>キュウショク</t>
    </rPh>
    <rPh sb="23" eb="25">
      <t>ジッシ</t>
    </rPh>
    <rPh sb="29" eb="31">
      <t>バアイ</t>
    </rPh>
    <rPh sb="33" eb="35">
      <t>ハンニュウ</t>
    </rPh>
    <rPh sb="35" eb="36">
      <t>ゴ</t>
    </rPh>
    <rPh sb="37" eb="39">
      <t>シセツ</t>
    </rPh>
    <rPh sb="39" eb="40">
      <t>ナイ</t>
    </rPh>
    <rPh sb="41" eb="43">
      <t>キッショク</t>
    </rPh>
    <rPh sb="43" eb="45">
      <t>オンド</t>
    </rPh>
    <rPh sb="46" eb="48">
      <t>カオン</t>
    </rPh>
    <rPh sb="49" eb="51">
      <t>テイキョウ</t>
    </rPh>
    <rPh sb="53" eb="55">
      <t>バアイ</t>
    </rPh>
    <rPh sb="56" eb="57">
      <t>フク</t>
    </rPh>
    <phoneticPr fontId="1"/>
  </si>
  <si>
    <t>搬入</t>
    <rPh sb="0" eb="2">
      <t>ハンニュウ</t>
    </rPh>
    <phoneticPr fontId="1"/>
  </si>
  <si>
    <t>実施状況</t>
    <rPh sb="0" eb="2">
      <t>ジッシ</t>
    </rPh>
    <rPh sb="2" eb="4">
      <t>ジョウキョウ</t>
    </rPh>
    <phoneticPr fontId="1"/>
  </si>
  <si>
    <t>調理を施設内の調理設備で行っている</t>
    <rPh sb="0" eb="2">
      <t>チョウリ</t>
    </rPh>
    <rPh sb="3" eb="5">
      <t>シセツ</t>
    </rPh>
    <rPh sb="5" eb="6">
      <t>ナイ</t>
    </rPh>
    <rPh sb="7" eb="9">
      <t>チョウリ</t>
    </rPh>
    <rPh sb="9" eb="11">
      <t>セツビ</t>
    </rPh>
    <rPh sb="12" eb="13">
      <t>オコナ</t>
    </rPh>
    <phoneticPr fontId="1"/>
  </si>
  <si>
    <t>自園できめ細やかな調理（食材の加工～完成品の提供まで）を行っている</t>
    <rPh sb="0" eb="1">
      <t>ジ</t>
    </rPh>
    <rPh sb="1" eb="2">
      <t>エン</t>
    </rPh>
    <rPh sb="5" eb="6">
      <t>コマ</t>
    </rPh>
    <rPh sb="9" eb="11">
      <t>チョウリ</t>
    </rPh>
    <rPh sb="12" eb="14">
      <t>ショクザイ</t>
    </rPh>
    <rPh sb="15" eb="17">
      <t>カコウ</t>
    </rPh>
    <rPh sb="18" eb="21">
      <t>カンセイヒン</t>
    </rPh>
    <rPh sb="22" eb="24">
      <t>テイキョウ</t>
    </rPh>
    <rPh sb="28" eb="29">
      <t>オコナ</t>
    </rPh>
    <phoneticPr fontId="1"/>
  </si>
  <si>
    <t>調理員が施設内調理設備を使用してきめ細かな調理（食材の加工から始まり完成品の提供まで実施）を行い給食を提供している</t>
    <rPh sb="0" eb="3">
      <t>チョウリイン</t>
    </rPh>
    <rPh sb="4" eb="6">
      <t>シセツ</t>
    </rPh>
    <rPh sb="6" eb="7">
      <t>ナイ</t>
    </rPh>
    <rPh sb="7" eb="9">
      <t>チョウリ</t>
    </rPh>
    <rPh sb="9" eb="11">
      <t>セツビ</t>
    </rPh>
    <rPh sb="12" eb="14">
      <t>シヨウ</t>
    </rPh>
    <rPh sb="18" eb="19">
      <t>コマ</t>
    </rPh>
    <rPh sb="21" eb="23">
      <t>チョウリ</t>
    </rPh>
    <rPh sb="24" eb="26">
      <t>ショクザイ</t>
    </rPh>
    <rPh sb="27" eb="29">
      <t>カコウ</t>
    </rPh>
    <rPh sb="31" eb="32">
      <t>ハジ</t>
    </rPh>
    <rPh sb="34" eb="37">
      <t>カンセイヒン</t>
    </rPh>
    <rPh sb="38" eb="40">
      <t>テイキョウ</t>
    </rPh>
    <rPh sb="42" eb="44">
      <t>ジッシ</t>
    </rPh>
    <rPh sb="46" eb="47">
      <t>オコナ</t>
    </rPh>
    <rPh sb="48" eb="50">
      <t>キュウショク</t>
    </rPh>
    <rPh sb="51" eb="53">
      <t>テイキョウ</t>
    </rPh>
    <phoneticPr fontId="1"/>
  </si>
  <si>
    <t>外部搬入により給食を提供している（食材の加工等をほとんど行わず加温等のみを行っている場合を含む。）</t>
    <rPh sb="0" eb="2">
      <t>ガイブ</t>
    </rPh>
    <rPh sb="2" eb="4">
      <t>ハンニュウ</t>
    </rPh>
    <rPh sb="7" eb="9">
      <t>キュウショク</t>
    </rPh>
    <rPh sb="10" eb="12">
      <t>テイキョウ</t>
    </rPh>
    <rPh sb="17" eb="19">
      <t>ショクザイ</t>
    </rPh>
    <rPh sb="20" eb="22">
      <t>カコウ</t>
    </rPh>
    <rPh sb="22" eb="23">
      <t>トウ</t>
    </rPh>
    <rPh sb="28" eb="29">
      <t>オコナ</t>
    </rPh>
    <rPh sb="31" eb="33">
      <t>カオン</t>
    </rPh>
    <rPh sb="33" eb="34">
      <t>トウ</t>
    </rPh>
    <rPh sb="37" eb="38">
      <t>オコナ</t>
    </rPh>
    <rPh sb="42" eb="44">
      <t>バアイ</t>
    </rPh>
    <rPh sb="45" eb="46">
      <t>フク</t>
    </rPh>
    <phoneticPr fontId="1"/>
  </si>
  <si>
    <t>(1)　外部委託等調理員が自園で調理を実施している状況が分かる書類(雇用契約書、業務委託契約書等)</t>
    <phoneticPr fontId="1"/>
  </si>
  <si>
    <t>②　２-イ-(ｲ)を「○」にした場合は、以下の2点を提出すること</t>
    <rPh sb="16" eb="18">
      <t>バアイ</t>
    </rPh>
    <rPh sb="20" eb="22">
      <t>イカ</t>
    </rPh>
    <rPh sb="24" eb="25">
      <t>テン</t>
    </rPh>
    <rPh sb="26" eb="28">
      <t>テイシュツ</t>
    </rPh>
    <phoneticPr fontId="1"/>
  </si>
  <si>
    <t>(2)　外部委託等の実施体制が分かる書類(業務委託契約書、運営要綱・規定等)</t>
    <rPh sb="10" eb="12">
      <t>ジッシ</t>
    </rPh>
    <rPh sb="12" eb="14">
      <t>タイセイ</t>
    </rPh>
    <rPh sb="29" eb="31">
      <t>ウンエイ</t>
    </rPh>
    <rPh sb="31" eb="33">
      <t>ヨウコウ</t>
    </rPh>
    <rPh sb="34" eb="36">
      <t>キテイ</t>
    </rPh>
    <phoneticPr fontId="1"/>
  </si>
  <si>
    <t>エラー</t>
    <phoneticPr fontId="1"/>
  </si>
  <si>
    <t>整合性</t>
    <rPh sb="0" eb="3">
      <t>セイゴウセイ</t>
    </rPh>
    <phoneticPr fontId="1"/>
  </si>
  <si>
    <t>漏れ</t>
    <rPh sb="0" eb="1">
      <t>モ</t>
    </rPh>
    <phoneticPr fontId="1"/>
  </si>
  <si>
    <t>取得年月日</t>
    <rPh sb="0" eb="2">
      <t>シュトク</t>
    </rPh>
    <rPh sb="2" eb="4">
      <t>ネンゲツ</t>
    </rPh>
    <rPh sb="4" eb="5">
      <t>ニチ</t>
    </rPh>
    <phoneticPr fontId="1"/>
  </si>
  <si>
    <t>各年度の年間平均在所率が120％以上(２年度間継続)</t>
    <rPh sb="0" eb="3">
      <t>カクネンド</t>
    </rPh>
    <rPh sb="4" eb="6">
      <t>ネンカン</t>
    </rPh>
    <rPh sb="6" eb="8">
      <t>ヘイキン</t>
    </rPh>
    <rPh sb="8" eb="10">
      <t>ザイショ</t>
    </rPh>
    <rPh sb="10" eb="11">
      <t>リツ</t>
    </rPh>
    <rPh sb="16" eb="18">
      <t>イジョウ</t>
    </rPh>
    <rPh sb="20" eb="22">
      <t>ネンド</t>
    </rPh>
    <rPh sb="22" eb="23">
      <t>カン</t>
    </rPh>
    <rPh sb="23" eb="25">
      <t>ケイゾク</t>
    </rPh>
    <phoneticPr fontId="1"/>
  </si>
  <si>
    <t>直前の連続する2年度間常に利用定員を超えている</t>
    <rPh sb="0" eb="2">
      <t>チョクゼン</t>
    </rPh>
    <rPh sb="3" eb="5">
      <t>レンゾク</t>
    </rPh>
    <rPh sb="8" eb="9">
      <t>ネン</t>
    </rPh>
    <rPh sb="9" eb="10">
      <t>ド</t>
    </rPh>
    <rPh sb="10" eb="11">
      <t>カン</t>
    </rPh>
    <rPh sb="11" eb="12">
      <t>ツネ</t>
    </rPh>
    <rPh sb="13" eb="15">
      <t>リヨウ</t>
    </rPh>
    <rPh sb="15" eb="17">
      <t>テイイン</t>
    </rPh>
    <rPh sb="18" eb="19">
      <t>コ</t>
    </rPh>
    <phoneticPr fontId="1"/>
  </si>
  <si>
    <t>利用定員35人以下又は121人以上である</t>
    <rPh sb="0" eb="2">
      <t>リヨウ</t>
    </rPh>
    <rPh sb="2" eb="4">
      <t>テイイン</t>
    </rPh>
    <rPh sb="6" eb="9">
      <t>ニンイカ</t>
    </rPh>
    <rPh sb="9" eb="10">
      <t>マタ</t>
    </rPh>
    <rPh sb="14" eb="17">
      <t>ニンイジョウ</t>
    </rPh>
    <phoneticPr fontId="1"/>
  </si>
  <si>
    <t>職員配置を充足している(様式5)</t>
    <rPh sb="0" eb="2">
      <t>ショクイン</t>
    </rPh>
    <rPh sb="2" eb="4">
      <t>ハイチ</t>
    </rPh>
    <rPh sb="5" eb="7">
      <t>ジュウソク</t>
    </rPh>
    <rPh sb="12" eb="14">
      <t>ヨウシキ</t>
    </rPh>
    <phoneticPr fontId="1"/>
  </si>
  <si>
    <t>非常勤講師※を配置し、職員配置を充足している（様式2及び5）</t>
    <rPh sb="0" eb="3">
      <t>ヒジョウキン</t>
    </rPh>
    <rPh sb="3" eb="5">
      <t>コウシ</t>
    </rPh>
    <rPh sb="7" eb="9">
      <t>ハイチ</t>
    </rPh>
    <rPh sb="11" eb="13">
      <t>ショクイン</t>
    </rPh>
    <rPh sb="13" eb="15">
      <t>ハイチ</t>
    </rPh>
    <rPh sb="16" eb="18">
      <t>ジュウソク</t>
    </rPh>
    <rPh sb="23" eb="25">
      <t>ヨウシキ</t>
    </rPh>
    <rPh sb="26" eb="27">
      <t>オヨ</t>
    </rPh>
    <phoneticPr fontId="1"/>
  </si>
  <si>
    <t>② 事業要件のうち4に該当する場合、障がい児の挙証書類1点（障害児手帳、医師の診断書、札幌市障がい児保育認定通知、通所支援受給者証）。なお、該当児童1名分とし、全員分は不要です。</t>
    <rPh sb="2" eb="4">
      <t>ジギョウ</t>
    </rPh>
    <rPh sb="4" eb="6">
      <t>ヨウケン</t>
    </rPh>
    <rPh sb="11" eb="13">
      <t>ガイトウ</t>
    </rPh>
    <rPh sb="15" eb="17">
      <t>バアイ</t>
    </rPh>
    <rPh sb="18" eb="19">
      <t>ショウ</t>
    </rPh>
    <rPh sb="21" eb="22">
      <t>ジ</t>
    </rPh>
    <rPh sb="23" eb="25">
      <t>キョショウ</t>
    </rPh>
    <rPh sb="25" eb="27">
      <t>ショルイ</t>
    </rPh>
    <rPh sb="28" eb="29">
      <t>テン</t>
    </rPh>
    <rPh sb="30" eb="32">
      <t>ショウガイ</t>
    </rPh>
    <rPh sb="32" eb="33">
      <t>ジ</t>
    </rPh>
    <rPh sb="33" eb="35">
      <t>テチョウ</t>
    </rPh>
    <rPh sb="36" eb="38">
      <t>イシ</t>
    </rPh>
    <rPh sb="39" eb="42">
      <t>シンダンショ</t>
    </rPh>
    <rPh sb="43" eb="46">
      <t>サッポロシ</t>
    </rPh>
    <rPh sb="46" eb="47">
      <t>ショウ</t>
    </rPh>
    <rPh sb="49" eb="50">
      <t>ジ</t>
    </rPh>
    <rPh sb="50" eb="52">
      <t>ホイク</t>
    </rPh>
    <rPh sb="52" eb="54">
      <t>ニンテイ</t>
    </rPh>
    <rPh sb="54" eb="56">
      <t>ツウチ</t>
    </rPh>
    <rPh sb="57" eb="59">
      <t>ツウショ</t>
    </rPh>
    <rPh sb="59" eb="61">
      <t>シエン</t>
    </rPh>
    <rPh sb="61" eb="64">
      <t>ジュキュウシャ</t>
    </rPh>
    <rPh sb="64" eb="65">
      <t>ショウ</t>
    </rPh>
    <rPh sb="70" eb="72">
      <t>ガイトウ</t>
    </rPh>
    <rPh sb="72" eb="74">
      <t>ジドウ</t>
    </rPh>
    <rPh sb="75" eb="76">
      <t>メイ</t>
    </rPh>
    <rPh sb="76" eb="77">
      <t>ブン</t>
    </rPh>
    <rPh sb="80" eb="82">
      <t>ゼンイン</t>
    </rPh>
    <rPh sb="82" eb="83">
      <t>ブン</t>
    </rPh>
    <rPh sb="83" eb="84">
      <t>スウフン</t>
    </rPh>
    <rPh sb="84" eb="86">
      <t>フヨウ</t>
    </rPh>
    <phoneticPr fontId="1"/>
  </si>
  <si>
    <t>施設関係者</t>
    <rPh sb="0" eb="2">
      <t>シセツ</t>
    </rPh>
    <rPh sb="2" eb="5">
      <t>カンケイシャ</t>
    </rPh>
    <phoneticPr fontId="1"/>
  </si>
  <si>
    <t>その他</t>
    <rPh sb="2" eb="3">
      <t>タ</t>
    </rPh>
    <phoneticPr fontId="1"/>
  </si>
  <si>
    <t>公開保育</t>
    <rPh sb="0" eb="2">
      <t>コウカイ</t>
    </rPh>
    <rPh sb="2" eb="4">
      <t>ホイク</t>
    </rPh>
    <phoneticPr fontId="1"/>
  </si>
  <si>
    <t>・　入力する時間は実勤務時間とし、休憩時間は含めないでください。</t>
    <rPh sb="2" eb="4">
      <t>ニュウリョク</t>
    </rPh>
    <rPh sb="6" eb="8">
      <t>ジカン</t>
    </rPh>
    <rPh sb="9" eb="10">
      <t>ジツ</t>
    </rPh>
    <rPh sb="10" eb="12">
      <t>キンム</t>
    </rPh>
    <rPh sb="12" eb="14">
      <t>ジカン</t>
    </rPh>
    <rPh sb="17" eb="19">
      <t>キュウケイ</t>
    </rPh>
    <rPh sb="19" eb="21">
      <t>ジカン</t>
    </rPh>
    <rPh sb="22" eb="23">
      <t>フク</t>
    </rPh>
    <phoneticPr fontId="1"/>
  </si>
  <si>
    <t>※１　年度当初から事業を開始する場合は５月において当該要件を満たしていることをもって４月から当該要件を満たしているものと取り扱う</t>
    <phoneticPr fontId="1"/>
  </si>
  <si>
    <t>※２　要件を満たした月以降の各月においては、同一年度に限り、事業を実施する体制が取られていることをもって当該要件を満たしているものと取り扱う</t>
    <phoneticPr fontId="1"/>
  </si>
  <si>
    <t>　満３歳児に対する教育・保育の提供※２</t>
    <phoneticPr fontId="1"/>
  </si>
  <si>
    <t>　障害児（軽度障害児を含む。）に対する教育・保育の提供※２</t>
    <phoneticPr fontId="1"/>
  </si>
  <si>
    <t>日</t>
    <rPh sb="0" eb="1">
      <t>ニチ</t>
    </rPh>
    <phoneticPr fontId="3"/>
  </si>
  <si>
    <t>日</t>
    <rPh sb="0" eb="1">
      <t>ニチ</t>
    </rPh>
    <phoneticPr fontId="1"/>
  </si>
  <si>
    <t>入力判定</t>
    <rPh sb="0" eb="2">
      <t>ニュウリョク</t>
    </rPh>
    <rPh sb="2" eb="4">
      <t>ハンテイ</t>
    </rPh>
    <phoneticPr fontId="1"/>
  </si>
  <si>
    <t>入力値</t>
    <rPh sb="0" eb="3">
      <t>ニュウリョクチ</t>
    </rPh>
    <phoneticPr fontId="1"/>
  </si>
  <si>
    <t>通園バス運行開始日</t>
    <rPh sb="0" eb="2">
      <t>ツウエン</t>
    </rPh>
    <rPh sb="4" eb="6">
      <t>ウンコウ</t>
    </rPh>
    <rPh sb="6" eb="8">
      <t>カイシ</t>
    </rPh>
    <rPh sb="8" eb="9">
      <t>ビ</t>
    </rPh>
    <phoneticPr fontId="1"/>
  </si>
  <si>
    <t>通園バス運行終了日</t>
    <rPh sb="0" eb="2">
      <t>ツウエン</t>
    </rPh>
    <rPh sb="4" eb="6">
      <t>ウンコウ</t>
    </rPh>
    <rPh sb="6" eb="8">
      <t>シュウリョウ</t>
    </rPh>
    <rPh sb="8" eb="9">
      <t>ビ</t>
    </rPh>
    <phoneticPr fontId="1"/>
  </si>
  <si>
    <t>延べ人数（人）</t>
    <rPh sb="0" eb="1">
      <t>ノ</t>
    </rPh>
    <rPh sb="2" eb="4">
      <t>ニンズウ</t>
    </rPh>
    <rPh sb="5" eb="6">
      <t>ニン</t>
    </rPh>
    <phoneticPr fontId="1"/>
  </si>
  <si>
    <t>初日</t>
    <rPh sb="0" eb="2">
      <t>ショニチ</t>
    </rPh>
    <phoneticPr fontId="1"/>
  </si>
  <si>
    <t>末</t>
    <rPh sb="0" eb="1">
      <t>マツ</t>
    </rPh>
    <phoneticPr fontId="1"/>
  </si>
  <si>
    <t>年度</t>
    <rPh sb="0" eb="2">
      <t>ネンド</t>
    </rPh>
    <phoneticPr fontId="1"/>
  </si>
  <si>
    <t>修業日</t>
    <rPh sb="0" eb="2">
      <t>シュウギョウ</t>
    </rPh>
    <rPh sb="2" eb="3">
      <t>ビ</t>
    </rPh>
    <phoneticPr fontId="3"/>
  </si>
  <si>
    <t>給食日</t>
    <rPh sb="0" eb="2">
      <t>キュウショク</t>
    </rPh>
    <rPh sb="2" eb="3">
      <t>ビ</t>
    </rPh>
    <phoneticPr fontId="3"/>
  </si>
  <si>
    <t>※2　実施日は子ども全員に給食を提供できる体制をとっている日とします（保護者が弁当持参を希望するなどにより給食を利用しない子どもがいる場合も実施日に含む）。また、一時預かり・保育で提供する給食は含みません。なお、給食の実施方法（業務委託、外部搬入等）は問わない。</t>
    <rPh sb="3" eb="5">
      <t>ジッシ</t>
    </rPh>
    <rPh sb="5" eb="6">
      <t>ヒ</t>
    </rPh>
    <rPh sb="7" eb="8">
      <t>コ</t>
    </rPh>
    <rPh sb="10" eb="12">
      <t>ゼンイン</t>
    </rPh>
    <rPh sb="13" eb="15">
      <t>キュウショク</t>
    </rPh>
    <rPh sb="16" eb="18">
      <t>テイキョウ</t>
    </rPh>
    <rPh sb="21" eb="23">
      <t>タイセイ</t>
    </rPh>
    <rPh sb="29" eb="30">
      <t>ヒ</t>
    </rPh>
    <rPh sb="35" eb="38">
      <t>ホゴシャ</t>
    </rPh>
    <rPh sb="39" eb="41">
      <t>ベントウ</t>
    </rPh>
    <rPh sb="41" eb="43">
      <t>ジサン</t>
    </rPh>
    <rPh sb="44" eb="46">
      <t>キボウ</t>
    </rPh>
    <rPh sb="53" eb="55">
      <t>キュウショク</t>
    </rPh>
    <rPh sb="56" eb="58">
      <t>リヨウ</t>
    </rPh>
    <rPh sb="61" eb="62">
      <t>コ</t>
    </rPh>
    <rPh sb="67" eb="69">
      <t>バアイ</t>
    </rPh>
    <rPh sb="70" eb="72">
      <t>ジッシ</t>
    </rPh>
    <rPh sb="72" eb="73">
      <t>ビ</t>
    </rPh>
    <rPh sb="74" eb="75">
      <t>フク</t>
    </rPh>
    <rPh sb="81" eb="83">
      <t>イチジ</t>
    </rPh>
    <rPh sb="83" eb="84">
      <t>アズ</t>
    </rPh>
    <rPh sb="87" eb="89">
      <t>ホイク</t>
    </rPh>
    <rPh sb="90" eb="92">
      <t>テイキョウ</t>
    </rPh>
    <rPh sb="94" eb="96">
      <t>キュウショク</t>
    </rPh>
    <rPh sb="97" eb="98">
      <t>フク</t>
    </rPh>
    <phoneticPr fontId="1"/>
  </si>
  <si>
    <t>給食の実施予定数※2→</t>
    <rPh sb="0" eb="2">
      <t>キュウショク</t>
    </rPh>
    <rPh sb="3" eb="5">
      <t>ジッシ</t>
    </rPh>
    <rPh sb="5" eb="7">
      <t>ヨテイ</t>
    </rPh>
    <rPh sb="7" eb="8">
      <t>スウ</t>
    </rPh>
    <phoneticPr fontId="1"/>
  </si>
  <si>
    <t>給食実施月の修業日数（下は通常の修行日数（参考値））→</t>
    <rPh sb="0" eb="5">
      <t>キュウショクジッシツキ</t>
    </rPh>
    <rPh sb="11" eb="12">
      <t>シタ</t>
    </rPh>
    <rPh sb="13" eb="15">
      <t>ツウジョウ</t>
    </rPh>
    <rPh sb="16" eb="18">
      <t>シュウギョウ</t>
    </rPh>
    <rPh sb="21" eb="24">
      <t>サンコウチ</t>
    </rPh>
    <phoneticPr fontId="1"/>
  </si>
  <si>
    <t>未入×/不要△</t>
    <rPh sb="0" eb="1">
      <t>ミ</t>
    </rPh>
    <rPh sb="1" eb="2">
      <t>ニュウ</t>
    </rPh>
    <rPh sb="4" eb="6">
      <t>フヨウ</t>
    </rPh>
    <phoneticPr fontId="1"/>
  </si>
  <si>
    <t>人</t>
    <rPh sb="0" eb="1">
      <t>ニン</t>
    </rPh>
    <phoneticPr fontId="1"/>
  </si>
  <si>
    <t>【参考】今月の満3歳児の人数→</t>
    <rPh sb="0" eb="4">
      <t>「サンコウ」</t>
    </rPh>
    <rPh sb="4" eb="6">
      <t>コンゲツ</t>
    </rPh>
    <rPh sb="7" eb="8">
      <t>マン</t>
    </rPh>
    <rPh sb="9" eb="11">
      <t>サイジ</t>
    </rPh>
    <rPh sb="12" eb="14">
      <t>ニンズウ</t>
    </rPh>
    <phoneticPr fontId="1"/>
  </si>
  <si>
    <t>協議年月日</t>
    <rPh sb="0" eb="2">
      <t>キョウギ</t>
    </rPh>
    <rPh sb="2" eb="3">
      <t>ネン</t>
    </rPh>
    <rPh sb="3" eb="4">
      <t>ツキ</t>
    </rPh>
    <rPh sb="4" eb="5">
      <t>ニチ</t>
    </rPh>
    <phoneticPr fontId="1"/>
  </si>
  <si>
    <t>協議先</t>
    <rPh sb="0" eb="3">
      <t>キョウギサキ</t>
    </rPh>
    <phoneticPr fontId="1"/>
  </si>
  <si>
    <t>見直し内容</t>
    <rPh sb="0" eb="2">
      <t>ミナオ</t>
    </rPh>
    <rPh sb="3" eb="5">
      <t>ナイヨウ</t>
    </rPh>
    <phoneticPr fontId="1"/>
  </si>
  <si>
    <t>定員超過①</t>
    <rPh sb="0" eb="2">
      <t>テイイン</t>
    </rPh>
    <rPh sb="2" eb="4">
      <t>チョウカ</t>
    </rPh>
    <phoneticPr fontId="1"/>
  </si>
  <si>
    <t>定員超過②</t>
    <rPh sb="0" eb="4">
      <t>テイインチョウカ</t>
    </rPh>
    <phoneticPr fontId="1"/>
  </si>
  <si>
    <t>定員見直し</t>
    <rPh sb="0" eb="4">
      <t>テイインミナオ</t>
    </rPh>
    <phoneticPr fontId="1"/>
  </si>
  <si>
    <t>受入人数見直し</t>
    <rPh sb="0" eb="2">
      <t>ウケイ</t>
    </rPh>
    <rPh sb="2" eb="4">
      <t>ニンズウ</t>
    </rPh>
    <rPh sb="4" eb="6">
      <t>ミナオ</t>
    </rPh>
    <phoneticPr fontId="1"/>
  </si>
  <si>
    <t>②　雇用契約書。正職員の場合は発令書等とし、いずれも事務専従であること。</t>
    <rPh sb="2" eb="4">
      <t>コヨウ</t>
    </rPh>
    <rPh sb="4" eb="7">
      <t>ケイヤクショ</t>
    </rPh>
    <rPh sb="8" eb="11">
      <t>セイショクイン</t>
    </rPh>
    <rPh sb="12" eb="14">
      <t>バアイ</t>
    </rPh>
    <rPh sb="15" eb="17">
      <t>ハツレイ</t>
    </rPh>
    <rPh sb="17" eb="18">
      <t>ショ</t>
    </rPh>
    <rPh sb="18" eb="19">
      <t>ナド</t>
    </rPh>
    <rPh sb="26" eb="28">
      <t>ジム</t>
    </rPh>
    <rPh sb="28" eb="30">
      <t>センジュウ</t>
    </rPh>
    <phoneticPr fontId="1"/>
  </si>
  <si>
    <t>専従の非常勤事務を配置している（様式2）</t>
    <rPh sb="0" eb="2">
      <t>センジュウ</t>
    </rPh>
    <rPh sb="3" eb="6">
      <t>ヒジョウキン</t>
    </rPh>
    <rPh sb="6" eb="8">
      <t>ジム</t>
    </rPh>
    <rPh sb="9" eb="11">
      <t>ハイチ</t>
    </rPh>
    <phoneticPr fontId="1"/>
  </si>
  <si>
    <t>下記のとおり専従の事務職員を配置している(様式2)</t>
    <rPh sb="0" eb="2">
      <t>カキ</t>
    </rPh>
    <rPh sb="6" eb="8">
      <t>センジュウ</t>
    </rPh>
    <rPh sb="9" eb="11">
      <t>ジム</t>
    </rPh>
    <rPh sb="11" eb="13">
      <t>ショクイン</t>
    </rPh>
    <rPh sb="14" eb="16">
      <t>ハイチ</t>
    </rPh>
    <rPh sb="21" eb="23">
      <t>ヨウシキ</t>
    </rPh>
    <phoneticPr fontId="1"/>
  </si>
  <si>
    <t>申出者</t>
    <rPh sb="0" eb="2">
      <t>モウシデ</t>
    </rPh>
    <rPh sb="2" eb="3">
      <t>ャ</t>
    </rPh>
    <phoneticPr fontId="1"/>
  </si>
  <si>
    <t>法人名</t>
    <rPh sb="0" eb="3">
      <t>ホウジンメイ</t>
    </rPh>
    <phoneticPr fontId="1"/>
  </si>
  <si>
    <t>代表者</t>
    <rPh sb="0" eb="3">
      <t>ダイヒョウシャ</t>
    </rPh>
    <phoneticPr fontId="1"/>
  </si>
  <si>
    <t>①　事業要件のうち１に該当し、私学助成の預かり保育事業を行っている場合は、平均対象児童数が20人を年度で始めて超える月の利用延べ利用数が分かる書類(利用状況表等)</t>
    <rPh sb="2" eb="4">
      <t>ジギョウ</t>
    </rPh>
    <rPh sb="4" eb="6">
      <t>ヨウケン</t>
    </rPh>
    <rPh sb="11" eb="13">
      <t>ガイトウ</t>
    </rPh>
    <rPh sb="15" eb="17">
      <t>シガク</t>
    </rPh>
    <rPh sb="17" eb="19">
      <t>ジョセイ</t>
    </rPh>
    <rPh sb="20" eb="21">
      <t>アズ</t>
    </rPh>
    <rPh sb="23" eb="25">
      <t>ホイク</t>
    </rPh>
    <rPh sb="25" eb="27">
      <t>ジギョウ</t>
    </rPh>
    <rPh sb="28" eb="29">
      <t>オコナ</t>
    </rPh>
    <rPh sb="33" eb="35">
      <t>バアイ</t>
    </rPh>
    <rPh sb="37" eb="39">
      <t>ヘイキン</t>
    </rPh>
    <rPh sb="39" eb="41">
      <t>タイショウ</t>
    </rPh>
    <rPh sb="41" eb="43">
      <t>ジドウ</t>
    </rPh>
    <rPh sb="43" eb="44">
      <t>スウ</t>
    </rPh>
    <rPh sb="47" eb="48">
      <t>ニン</t>
    </rPh>
    <rPh sb="49" eb="51">
      <t>ネンド</t>
    </rPh>
    <rPh sb="52" eb="53">
      <t>ハジ</t>
    </rPh>
    <rPh sb="55" eb="56">
      <t>コ</t>
    </rPh>
    <rPh sb="58" eb="59">
      <t>ツキ</t>
    </rPh>
    <rPh sb="60" eb="62">
      <t>リヨウ</t>
    </rPh>
    <rPh sb="62" eb="63">
      <t>ノ</t>
    </rPh>
    <rPh sb="64" eb="66">
      <t>リヨウ</t>
    </rPh>
    <rPh sb="66" eb="67">
      <t>スウ</t>
    </rPh>
    <rPh sb="68" eb="69">
      <t>ワ</t>
    </rPh>
    <rPh sb="71" eb="73">
      <t>ショルイ</t>
    </rPh>
    <rPh sb="74" eb="76">
      <t>リヨウ</t>
    </rPh>
    <rPh sb="76" eb="78">
      <t>ジョウキョウ</t>
    </rPh>
    <rPh sb="78" eb="79">
      <t>ヒョウ</t>
    </rPh>
    <rPh sb="79" eb="80">
      <t>トウ</t>
    </rPh>
    <phoneticPr fontId="1"/>
  </si>
  <si>
    <t>１号利用定員の恒常的な超過の解消に関する申出書</t>
    <phoneticPr fontId="1"/>
  </si>
  <si>
    <t>１　施設名</t>
    <rPh sb="2" eb="5">
      <t>シセツメイ</t>
    </rPh>
    <phoneticPr fontId="1"/>
  </si>
  <si>
    <t>定員</t>
    <rPh sb="0" eb="2">
      <t>テイイン</t>
    </rPh>
    <phoneticPr fontId="1"/>
  </si>
  <si>
    <t>(1) 定員</t>
    <rPh sb="4" eb="6">
      <t>テイイン</t>
    </rPh>
    <phoneticPr fontId="1"/>
  </si>
  <si>
    <t>利用児童数</t>
    <rPh sb="0" eb="5">
      <t>リヨウジドウスウ</t>
    </rPh>
    <phoneticPr fontId="1"/>
  </si>
  <si>
    <t>超過</t>
    <rPh sb="0" eb="2">
      <t>チョウカ</t>
    </rPh>
    <phoneticPr fontId="1"/>
  </si>
  <si>
    <t>平均在所率</t>
    <rPh sb="0" eb="5">
      <t>ヘイキンザイショリツ</t>
    </rPh>
    <phoneticPr fontId="1"/>
  </si>
  <si>
    <t>１号</t>
    <rPh sb="1" eb="2">
      <t>ゴウ</t>
    </rPh>
    <phoneticPr fontId="1"/>
  </si>
  <si>
    <t>別紙６‐２（「減算：定員を恒常的に超過する場合」の添付書類）</t>
    <rPh sb="0" eb="2">
      <t>ベッシ</t>
    </rPh>
    <rPh sb="7" eb="9">
      <t>ゲンサン</t>
    </rPh>
    <rPh sb="10" eb="12">
      <t>テイイン</t>
    </rPh>
    <rPh sb="13" eb="16">
      <t>コウジョウテキ</t>
    </rPh>
    <rPh sb="17" eb="19">
      <t>チョウカ</t>
    </rPh>
    <rPh sb="21" eb="23">
      <t>バアイ</t>
    </rPh>
    <rPh sb="25" eb="27">
      <t>テンプ</t>
    </rPh>
    <rPh sb="27" eb="29">
      <t>ショルイ</t>
    </rPh>
    <phoneticPr fontId="1"/>
  </si>
  <si>
    <t>１号利用定員の恒常的な超過の解消に関する実績報告書</t>
    <rPh sb="20" eb="25">
      <t>ジッセキホウコクショ</t>
    </rPh>
    <phoneticPr fontId="1"/>
  </si>
  <si>
    <t>　下記のとおりの実績となっております。</t>
    <rPh sb="1" eb="3">
      <t>カキ</t>
    </rPh>
    <rPh sb="8" eb="10">
      <t>ジッセキ</t>
    </rPh>
    <phoneticPr fontId="1"/>
  </si>
  <si>
    <t>②　別紙6－2（3月の加算調整項目申請書提出時に提出すること）</t>
    <rPh sb="9" eb="10">
      <t>ガツ</t>
    </rPh>
    <rPh sb="11" eb="20">
      <t>カサンチョウセイコウモクシンセイショ</t>
    </rPh>
    <rPh sb="20" eb="23">
      <t>テイシュツジ</t>
    </rPh>
    <rPh sb="24" eb="26">
      <t>テイシュツ</t>
    </rPh>
    <phoneticPr fontId="1"/>
  </si>
  <si>
    <t>減算解除要件</t>
    <rPh sb="0" eb="2">
      <t>ゲンサン</t>
    </rPh>
    <rPh sb="2" eb="4">
      <t>カイジョ</t>
    </rPh>
    <rPh sb="4" eb="6">
      <t>ヨウケン</t>
    </rPh>
    <phoneticPr fontId="1"/>
  </si>
  <si>
    <t>①　別紙6－1（減算解除開始月の加算調整項目申請書提出時に提出すること）</t>
    <rPh sb="2" eb="4">
      <t>ベッシ</t>
    </rPh>
    <rPh sb="8" eb="15">
      <t>ゲンサンカイジョカイシツキ</t>
    </rPh>
    <rPh sb="16" eb="22">
      <t>カサンチョウセイコウモク</t>
    </rPh>
    <rPh sb="22" eb="25">
      <t>シンセイショ</t>
    </rPh>
    <rPh sb="25" eb="28">
      <t>テイシュツジ</t>
    </rPh>
    <rPh sb="29" eb="31">
      <t>テイシュツ</t>
    </rPh>
    <phoneticPr fontId="1"/>
  </si>
  <si>
    <t>小学校交流計画書</t>
    <rPh sb="0" eb="3">
      <t>ショウガッコウ</t>
    </rPh>
    <rPh sb="3" eb="5">
      <t>コウリュウ</t>
    </rPh>
    <rPh sb="5" eb="7">
      <t>ケイカク</t>
    </rPh>
    <rPh sb="7" eb="8">
      <t>ショ</t>
    </rPh>
    <phoneticPr fontId="1"/>
  </si>
  <si>
    <t>計画書作成日</t>
    <rPh sb="0" eb="3">
      <t>ケイカクショ</t>
    </rPh>
    <rPh sb="3" eb="6">
      <t>サクセイビ</t>
    </rPh>
    <phoneticPr fontId="1"/>
  </si>
  <si>
    <t>年</t>
    <rPh sb="0" eb="1">
      <t>ネン</t>
    </rPh>
    <phoneticPr fontId="1"/>
  </si>
  <si>
    <t>月</t>
    <rPh sb="0" eb="1">
      <t>ガツ</t>
    </rPh>
    <phoneticPr fontId="1"/>
  </si>
  <si>
    <t>日</t>
    <rPh sb="0" eb="1">
      <t>ニチ</t>
    </rPh>
    <phoneticPr fontId="1"/>
  </si>
  <si>
    <t>１回目</t>
    <rPh sb="1" eb="3">
      <t>カイメ</t>
    </rPh>
    <phoneticPr fontId="1"/>
  </si>
  <si>
    <t>交流先</t>
    <rPh sb="0" eb="2">
      <t>コウリュウ</t>
    </rPh>
    <rPh sb="2" eb="3">
      <t>サキ</t>
    </rPh>
    <phoneticPr fontId="1"/>
  </si>
  <si>
    <t>学校名</t>
    <rPh sb="0" eb="3">
      <t>ガッコウメイ</t>
    </rPh>
    <phoneticPr fontId="1"/>
  </si>
  <si>
    <t>交流先担当者</t>
    <rPh sb="0" eb="6">
      <t>コウリュウサキタントウシャ</t>
    </rPh>
    <phoneticPr fontId="1"/>
  </si>
  <si>
    <t>交流予定年月日</t>
    <rPh sb="0" eb="7">
      <t>コウリュウヨテイネンガッピ</t>
    </rPh>
    <phoneticPr fontId="1"/>
  </si>
  <si>
    <t>行事名称</t>
    <rPh sb="0" eb="4">
      <t>ギョウジメイショウ</t>
    </rPh>
    <phoneticPr fontId="1"/>
  </si>
  <si>
    <t>行事内容</t>
    <rPh sb="0" eb="4">
      <t>ギョウジナイヨウ</t>
    </rPh>
    <phoneticPr fontId="1"/>
  </si>
  <si>
    <t>相談・承認</t>
    <rPh sb="0" eb="2">
      <t>ソウダン</t>
    </rPh>
    <rPh sb="3" eb="5">
      <t>ショウニン</t>
    </rPh>
    <phoneticPr fontId="1"/>
  </si>
  <si>
    <t>役職</t>
    <rPh sb="0" eb="2">
      <t>ヤクショク</t>
    </rPh>
    <phoneticPr fontId="1"/>
  </si>
  <si>
    <t>氏名</t>
    <rPh sb="0" eb="2">
      <t>シメイ</t>
    </rPh>
    <phoneticPr fontId="1"/>
  </si>
  <si>
    <t>相談していない</t>
    <rPh sb="0" eb="2">
      <t>ソウダン</t>
    </rPh>
    <phoneticPr fontId="1"/>
  </si>
  <si>
    <t>相談している</t>
    <rPh sb="0" eb="2">
      <t>ソウダン</t>
    </rPh>
    <phoneticPr fontId="1"/>
  </si>
  <si>
    <t>交流先への相談</t>
    <rPh sb="0" eb="2">
      <t>コウリュウ</t>
    </rPh>
    <rPh sb="2" eb="3">
      <t>サキ</t>
    </rPh>
    <rPh sb="5" eb="7">
      <t>ソウダン</t>
    </rPh>
    <phoneticPr fontId="1"/>
  </si>
  <si>
    <t>当該計画書作成者</t>
    <rPh sb="0" eb="2">
      <t>トウガイ</t>
    </rPh>
    <rPh sb="2" eb="5">
      <t>ケイカクショ</t>
    </rPh>
    <rPh sb="5" eb="8">
      <t>サクセイシャ</t>
    </rPh>
    <phoneticPr fontId="1"/>
  </si>
  <si>
    <t>２回目</t>
    <rPh sb="1" eb="3">
      <t>カイメ</t>
    </rPh>
    <phoneticPr fontId="1"/>
  </si>
  <si>
    <t>　・　未記載の欄がある又は交流先への相談欄で「相談していない」を選択すると対象外となります。</t>
    <rPh sb="3" eb="6">
      <t>ミキサイ</t>
    </rPh>
    <rPh sb="7" eb="8">
      <t>ラン</t>
    </rPh>
    <rPh sb="11" eb="12">
      <t>マタ</t>
    </rPh>
    <rPh sb="13" eb="15">
      <t>コウリュウ</t>
    </rPh>
    <rPh sb="15" eb="16">
      <t>サキ</t>
    </rPh>
    <rPh sb="18" eb="20">
      <t>ソウダン</t>
    </rPh>
    <rPh sb="20" eb="21">
      <t>ラン</t>
    </rPh>
    <rPh sb="23" eb="25">
      <t>ソウダン</t>
    </rPh>
    <rPh sb="32" eb="34">
      <t>センタク</t>
    </rPh>
    <rPh sb="37" eb="40">
      <t>タイショウガイ</t>
    </rPh>
    <phoneticPr fontId="1"/>
  </si>
  <si>
    <t xml:space="preserve"> ・ 計画書を作成された日にちが１日の場合は当該月、２日以降の場合は翌月から該当となります。ただし、４月２日～５月１日に計画された場合は４月から該当となります。</t>
    <rPh sb="3" eb="6">
      <t>ケイカクショ</t>
    </rPh>
    <rPh sb="7" eb="9">
      <t>サクセイ</t>
    </rPh>
    <rPh sb="12" eb="13">
      <t>ヒ</t>
    </rPh>
    <rPh sb="17" eb="18">
      <t>ニチ</t>
    </rPh>
    <rPh sb="19" eb="21">
      <t>バアイ</t>
    </rPh>
    <rPh sb="22" eb="25">
      <t>トウガイツキ</t>
    </rPh>
    <rPh sb="27" eb="30">
      <t>ニチイコウ</t>
    </rPh>
    <rPh sb="31" eb="33">
      <t>バアイ</t>
    </rPh>
    <rPh sb="34" eb="36">
      <t>ヨクツキ</t>
    </rPh>
    <rPh sb="38" eb="40">
      <t>ガイトウ</t>
    </rPh>
    <rPh sb="51" eb="52">
      <t>ガツ</t>
    </rPh>
    <rPh sb="53" eb="54">
      <t>ニチ</t>
    </rPh>
    <rPh sb="56" eb="57">
      <t>ガツ</t>
    </rPh>
    <rPh sb="58" eb="59">
      <t>ニチ</t>
    </rPh>
    <rPh sb="60" eb="62">
      <t>ケイカク</t>
    </rPh>
    <rPh sb="65" eb="67">
      <t>バアイ</t>
    </rPh>
    <rPh sb="69" eb="70">
      <t>ガツ</t>
    </rPh>
    <rPh sb="72" eb="74">
      <t>ガイトウ</t>
    </rPh>
    <phoneticPr fontId="1"/>
  </si>
  <si>
    <t>(2) 利用初日児童数（予定）</t>
    <rPh sb="4" eb="6">
      <t>リヨウ</t>
    </rPh>
    <rPh sb="6" eb="8">
      <t>ショニチ</t>
    </rPh>
    <rPh sb="8" eb="10">
      <t>ジドウ</t>
    </rPh>
    <rPh sb="10" eb="11">
      <t>スウ</t>
    </rPh>
    <rPh sb="12" eb="14">
      <t>ヨテイ</t>
    </rPh>
    <phoneticPr fontId="1"/>
  </si>
  <si>
    <t>(2) 利用初日児童数(実績)</t>
    <rPh sb="4" eb="6">
      <t>リヨウ</t>
    </rPh>
    <rPh sb="6" eb="8">
      <t>ショニチ</t>
    </rPh>
    <rPh sb="8" eb="10">
      <t>ジドウ</t>
    </rPh>
    <rPh sb="10" eb="11">
      <t>スウ</t>
    </rPh>
    <rPh sb="12" eb="14">
      <t>ジッセキ</t>
    </rPh>
    <phoneticPr fontId="1"/>
  </si>
  <si>
    <t>月</t>
    <rPh sb="0" eb="1">
      <t>ツキ</t>
    </rPh>
    <phoneticPr fontId="1"/>
  </si>
  <si>
    <t>適用月→</t>
    <rPh sb="0" eb="3">
      <t>テキヨウツキ</t>
    </rPh>
    <phoneticPr fontId="1"/>
  </si>
  <si>
    <t>交流</t>
    <rPh sb="0" eb="2">
      <t>コウリュウ</t>
    </rPh>
    <phoneticPr fontId="1"/>
  </si>
  <si>
    <t>交流している</t>
    <rPh sb="0" eb="2">
      <t>コウリュウ</t>
    </rPh>
    <phoneticPr fontId="1"/>
  </si>
  <si>
    <t>交流していない</t>
    <rPh sb="0" eb="2">
      <t>コウリュウ</t>
    </rPh>
    <phoneticPr fontId="1"/>
  </si>
  <si>
    <t>適用月→</t>
    <rPh sb="0" eb="3">
      <t>テキヨウツキ</t>
    </rPh>
    <phoneticPr fontId="1"/>
  </si>
  <si>
    <t>判定→</t>
    <rPh sb="0" eb="2">
      <t>ハンテイ</t>
    </rPh>
    <phoneticPr fontId="1"/>
  </si>
  <si>
    <t>教職員との交流が図られているか</t>
    <rPh sb="0" eb="3">
      <t>キョウショクイン</t>
    </rPh>
    <rPh sb="5" eb="7">
      <t>コウリュウ</t>
    </rPh>
    <rPh sb="8" eb="9">
      <t>ハカ</t>
    </rPh>
    <phoneticPr fontId="1"/>
  </si>
  <si>
    <t>子どもとの交流が図られているか</t>
    <rPh sb="0" eb="1">
      <t>コ</t>
    </rPh>
    <rPh sb="5" eb="7">
      <t>コウリュウ</t>
    </rPh>
    <phoneticPr fontId="1"/>
  </si>
  <si>
    <t>　・　幼保小連携協議会に参加するだけでは対象外です（幼保小連携協議会のプログラムの一環として、小学校との教職員及び子どもの交流活動がある場合は可）</t>
    <rPh sb="3" eb="11">
      <t>ヨウホショウレンケイキョウギカイ</t>
    </rPh>
    <rPh sb="12" eb="14">
      <t>サンカ</t>
    </rPh>
    <rPh sb="20" eb="23">
      <t>タイショウガイ</t>
    </rPh>
    <rPh sb="26" eb="34">
      <t>ヨウホショウレンケイキョウギカイ</t>
    </rPh>
    <rPh sb="41" eb="43">
      <t>イッカン</t>
    </rPh>
    <rPh sb="47" eb="50">
      <t>ショウガッコウ</t>
    </rPh>
    <rPh sb="52" eb="56">
      <t>キョウショクインオヨ</t>
    </rPh>
    <rPh sb="57" eb="58">
      <t>コ</t>
    </rPh>
    <rPh sb="61" eb="65">
      <t>コウリュウカツドウ</t>
    </rPh>
    <rPh sb="68" eb="70">
      <t>バアイ</t>
    </rPh>
    <rPh sb="71" eb="72">
      <t>カ</t>
    </rPh>
    <phoneticPr fontId="1"/>
  </si>
  <si>
    <t>施設長</t>
    <rPh sb="0" eb="3">
      <t>シセツチョウ</t>
    </rPh>
    <phoneticPr fontId="1"/>
  </si>
  <si>
    <t>常勤換算数</t>
    <rPh sb="0" eb="5">
      <t>ジョウキンカンサンスウ</t>
    </rPh>
    <phoneticPr fontId="1"/>
  </si>
  <si>
    <t>療育支援加算</t>
    <rPh sb="0" eb="6">
      <t>リョウイクシエンカサン</t>
    </rPh>
    <phoneticPr fontId="1"/>
  </si>
  <si>
    <t>事務配置加算</t>
    <rPh sb="0" eb="6">
      <t>ジムハイチカサン</t>
    </rPh>
    <phoneticPr fontId="1"/>
  </si>
  <si>
    <t>事務員</t>
    <rPh sb="0" eb="3">
      <t>ジムイン</t>
    </rPh>
    <phoneticPr fontId="1"/>
  </si>
  <si>
    <t>常勤</t>
    <rPh sb="0" eb="2">
      <t>ジョウキン</t>
    </rPh>
    <phoneticPr fontId="1"/>
  </si>
  <si>
    <t>人数</t>
    <rPh sb="0" eb="2">
      <t>ニンズウ</t>
    </rPh>
    <phoneticPr fontId="1"/>
  </si>
  <si>
    <t>勤務時間</t>
    <rPh sb="0" eb="4">
      <t>キンムジカン</t>
    </rPh>
    <phoneticPr fontId="1"/>
  </si>
  <si>
    <t>計</t>
    <rPh sb="0" eb="1">
      <t>ケイ</t>
    </rPh>
    <phoneticPr fontId="1"/>
  </si>
  <si>
    <t>常勤職員１人の勤務時間数/月</t>
    <phoneticPr fontId="1"/>
  </si>
  <si>
    <t>時間/月</t>
    <rPh sb="0" eb="2">
      <t>ジカン</t>
    </rPh>
    <rPh sb="3" eb="4">
      <t>ツキ</t>
    </rPh>
    <phoneticPr fontId="1"/>
  </si>
  <si>
    <t>年齢別配置基準を下回る場合</t>
    <phoneticPr fontId="1"/>
  </si>
  <si>
    <t>教職員</t>
    <rPh sb="0" eb="3">
      <t>キョウショクイン</t>
    </rPh>
    <phoneticPr fontId="1"/>
  </si>
  <si>
    <t>計算過程</t>
    <rPh sb="0" eb="4">
      <t>ケイサンカテイ</t>
    </rPh>
    <phoneticPr fontId="1"/>
  </si>
  <si>
    <t>配置数</t>
    <rPh sb="0" eb="2">
      <t>ハイチ</t>
    </rPh>
    <rPh sb="2" eb="3">
      <t>スウ</t>
    </rPh>
    <phoneticPr fontId="1"/>
  </si>
  <si>
    <t>小計</t>
    <rPh sb="0" eb="2">
      <t>ショウケイ</t>
    </rPh>
    <phoneticPr fontId="1"/>
  </si>
  <si>
    <t>５歳児</t>
    <phoneticPr fontId="1"/>
  </si>
  <si>
    <t>４歳児</t>
    <phoneticPr fontId="1"/>
  </si>
  <si>
    <t>学級編制調整加配</t>
    <rPh sb="0" eb="2">
      <t>ガッキュウ</t>
    </rPh>
    <rPh sb="2" eb="4">
      <t>ヘンセイ</t>
    </rPh>
    <rPh sb="4" eb="6">
      <t>チョウセイ</t>
    </rPh>
    <rPh sb="6" eb="8">
      <t>カハイ</t>
    </rPh>
    <phoneticPr fontId="1"/>
  </si>
  <si>
    <t>配置数　－　必要数</t>
    <rPh sb="0" eb="3">
      <t>ハイチスウ</t>
    </rPh>
    <rPh sb="6" eb="9">
      <t>ヒツヨウスウ</t>
    </rPh>
    <phoneticPr fontId="1"/>
  </si>
  <si>
    <t>施設長</t>
    <rPh sb="0" eb="3">
      <t>シセツチョウ</t>
    </rPh>
    <phoneticPr fontId="1"/>
  </si>
  <si>
    <t>雇用契約</t>
    <rPh sb="0" eb="2">
      <t>コヨウ</t>
    </rPh>
    <rPh sb="2" eb="4">
      <t>ケイヤク</t>
    </rPh>
    <phoneticPr fontId="1"/>
  </si>
  <si>
    <t>派遣契約</t>
    <rPh sb="0" eb="2">
      <t>ハケン</t>
    </rPh>
    <rPh sb="2" eb="4">
      <t>ケイヤク</t>
    </rPh>
    <phoneticPr fontId="1"/>
  </si>
  <si>
    <t>嘱託契約</t>
    <rPh sb="0" eb="4">
      <t>ショクタクケイヤク</t>
    </rPh>
    <phoneticPr fontId="1"/>
  </si>
  <si>
    <t>派遣契約</t>
    <rPh sb="0" eb="4">
      <t>ハケンケイヤク</t>
    </rPh>
    <phoneticPr fontId="1"/>
  </si>
  <si>
    <t>契約形態</t>
    <rPh sb="0" eb="2">
      <t>ケイヤク</t>
    </rPh>
    <rPh sb="2" eb="4">
      <t>ケイタイ</t>
    </rPh>
    <phoneticPr fontId="1"/>
  </si>
  <si>
    <t>No.</t>
    <phoneticPr fontId="1"/>
  </si>
  <si>
    <t>有給（他法活用）</t>
    <rPh sb="0" eb="2">
      <t>ユウキュウ</t>
    </rPh>
    <rPh sb="3" eb="7">
      <t>タホウカツヨウ</t>
    </rPh>
    <phoneticPr fontId="1"/>
  </si>
  <si>
    <t>カウント</t>
    <phoneticPr fontId="1"/>
  </si>
  <si>
    <t>参入</t>
    <rPh sb="0" eb="2">
      <t>サンニュウ</t>
    </rPh>
    <phoneticPr fontId="1"/>
  </si>
  <si>
    <t>通常教育</t>
    <rPh sb="0" eb="2">
      <t>ツウジョウ</t>
    </rPh>
    <rPh sb="2" eb="4">
      <t>キョウイク</t>
    </rPh>
    <phoneticPr fontId="1"/>
  </si>
  <si>
    <t>必要数</t>
    <rPh sb="0" eb="3">
      <t>ヒツヨウスウ</t>
    </rPh>
    <phoneticPr fontId="1"/>
  </si>
  <si>
    <t>教育時間数/日</t>
    <rPh sb="0" eb="2">
      <t>キョウイク</t>
    </rPh>
    <rPh sb="2" eb="4">
      <t>ジカン</t>
    </rPh>
    <rPh sb="4" eb="5">
      <t>スウ</t>
    </rPh>
    <rPh sb="6" eb="7">
      <t>ニチ</t>
    </rPh>
    <phoneticPr fontId="1"/>
  </si>
  <si>
    <t>常勤職員の勤務時間数/日</t>
    <rPh sb="0" eb="2">
      <t>ジョウキン</t>
    </rPh>
    <rPh sb="2" eb="4">
      <t>ショクイン</t>
    </rPh>
    <rPh sb="5" eb="7">
      <t>キンム</t>
    </rPh>
    <rPh sb="7" eb="9">
      <t>ジカン</t>
    </rPh>
    <rPh sb="9" eb="10">
      <t>スウ</t>
    </rPh>
    <rPh sb="11" eb="12">
      <t>ニチ</t>
    </rPh>
    <phoneticPr fontId="1"/>
  </si>
  <si>
    <t>主幹教諭等専任化加算</t>
    <rPh sb="0" eb="5">
      <t>シュカンキョウユトウ</t>
    </rPh>
    <rPh sb="5" eb="10">
      <t>センニンカカサン</t>
    </rPh>
    <phoneticPr fontId="1"/>
  </si>
  <si>
    <t>代替教諭等の人数…下記代替数と0.5のうち大きい方</t>
    <rPh sb="0" eb="2">
      <t>ダイガ</t>
    </rPh>
    <rPh sb="2" eb="4">
      <t>キョウユ</t>
    </rPh>
    <rPh sb="4" eb="5">
      <t>トウ</t>
    </rPh>
    <rPh sb="6" eb="8">
      <t>ニンズウ</t>
    </rPh>
    <rPh sb="9" eb="11">
      <t>カキ</t>
    </rPh>
    <rPh sb="11" eb="13">
      <t>ダイタイ</t>
    </rPh>
    <rPh sb="13" eb="14">
      <t>スウ</t>
    </rPh>
    <rPh sb="21" eb="22">
      <t>オオ</t>
    </rPh>
    <rPh sb="24" eb="25">
      <t>ホウ</t>
    </rPh>
    <phoneticPr fontId="1"/>
  </si>
  <si>
    <t>副園長加算</t>
    <rPh sb="0" eb="1">
      <t>フク</t>
    </rPh>
    <phoneticPr fontId="1"/>
  </si>
  <si>
    <t>調理員</t>
    <rPh sb="0" eb="3">
      <t>チョウリイン</t>
    </rPh>
    <phoneticPr fontId="1"/>
  </si>
  <si>
    <t>給食実施加算</t>
    <rPh sb="0" eb="6">
      <t>キュウショクジッシカサン</t>
    </rPh>
    <phoneticPr fontId="1"/>
  </si>
  <si>
    <t>栄養管理加算</t>
    <rPh sb="0" eb="6">
      <t>エイヨウカンリカサン</t>
    </rPh>
    <phoneticPr fontId="1"/>
  </si>
  <si>
    <t>非常勤下限設定</t>
    <rPh sb="0" eb="3">
      <t>ヒジョウキン</t>
    </rPh>
    <rPh sb="3" eb="7">
      <t>カゲンセッテイ</t>
    </rPh>
    <phoneticPr fontId="1"/>
  </si>
  <si>
    <t>事務員</t>
    <rPh sb="0" eb="3">
      <t>ジムイン</t>
    </rPh>
    <phoneticPr fontId="1"/>
  </si>
  <si>
    <t>事務職員配置加算</t>
    <rPh sb="0" eb="4">
      <t>ジムショクイン</t>
    </rPh>
    <rPh sb="4" eb="6">
      <t>ハイチ</t>
    </rPh>
    <rPh sb="6" eb="8">
      <t>カサン</t>
    </rPh>
    <phoneticPr fontId="1"/>
  </si>
  <si>
    <t>事務負担対応加配加算</t>
    <rPh sb="0" eb="8">
      <t>ジムフタンタイオウカハイ</t>
    </rPh>
    <rPh sb="8" eb="10">
      <t>カサン</t>
    </rPh>
    <phoneticPr fontId="1"/>
  </si>
  <si>
    <t>No</t>
    <phoneticPr fontId="1"/>
  </si>
  <si>
    <t>カウント</t>
  </si>
  <si>
    <t>入力</t>
    <rPh sb="0" eb="2">
      <t>ニュウリョク</t>
    </rPh>
    <phoneticPr fontId="1"/>
  </si>
  <si>
    <t>常勤・非常勤</t>
    <rPh sb="3" eb="6">
      <t>ヒジョウキン</t>
    </rPh>
    <phoneticPr fontId="1"/>
  </si>
  <si>
    <t>勤務時間</t>
    <rPh sb="0" eb="4">
      <t>キンムジカン</t>
    </rPh>
    <phoneticPr fontId="1"/>
  </si>
  <si>
    <t>算入区分</t>
    <rPh sb="0" eb="2">
      <t>サンニュウ</t>
    </rPh>
    <rPh sb="2" eb="4">
      <t>クブン</t>
    </rPh>
    <phoneticPr fontId="1"/>
  </si>
  <si>
    <t>様式2</t>
    <rPh sb="0" eb="2">
      <t>ヨウシキ</t>
    </rPh>
    <phoneticPr fontId="1"/>
  </si>
  <si>
    <t>全員</t>
    <rPh sb="0" eb="2">
      <t>ゼンイン</t>
    </rPh>
    <phoneticPr fontId="1"/>
  </si>
  <si>
    <t>常勤</t>
    <rPh sb="0" eb="2">
      <t>ジョウキン</t>
    </rPh>
    <phoneticPr fontId="1"/>
  </si>
  <si>
    <t>教諭</t>
    <phoneticPr fontId="1"/>
  </si>
  <si>
    <t>調理員</t>
    <rPh sb="0" eb="3">
      <t>チョウリイン</t>
    </rPh>
    <phoneticPr fontId="1"/>
  </si>
  <si>
    <t>事務員</t>
    <phoneticPr fontId="1"/>
  </si>
  <si>
    <t>-</t>
    <phoneticPr fontId="1"/>
  </si>
  <si>
    <t>学校医</t>
    <rPh sb="0" eb="3">
      <t>ガッコウイ</t>
    </rPh>
    <phoneticPr fontId="1"/>
  </si>
  <si>
    <t>常勤事務員</t>
    <rPh sb="0" eb="2">
      <t>ジョウキン</t>
    </rPh>
    <phoneticPr fontId="1"/>
  </si>
  <si>
    <t>2　加算・減算等</t>
    <rPh sb="2" eb="4">
      <t>カサン</t>
    </rPh>
    <rPh sb="5" eb="7">
      <t>ゲンサン</t>
    </rPh>
    <rPh sb="7" eb="8">
      <t>トウ</t>
    </rPh>
    <phoneticPr fontId="1"/>
  </si>
  <si>
    <t>項目</t>
    <rPh sb="0" eb="2">
      <t>コウモク</t>
    </rPh>
    <phoneticPr fontId="1"/>
  </si>
  <si>
    <t>個票</t>
    <rPh sb="0" eb="2">
      <t>コヒョウ</t>
    </rPh>
    <phoneticPr fontId="1"/>
  </si>
  <si>
    <t>調整</t>
    <rPh sb="0" eb="2">
      <t>チョウセイ</t>
    </rPh>
    <phoneticPr fontId="1"/>
  </si>
  <si>
    <t>様式2より…A</t>
    <rPh sb="0" eb="2">
      <t>ヨウシキ</t>
    </rPh>
    <phoneticPr fontId="1"/>
  </si>
  <si>
    <t>時間</t>
    <rPh sb="0" eb="2">
      <t>ジカン</t>
    </rPh>
    <phoneticPr fontId="1"/>
  </si>
  <si>
    <t>各月初日における利用児童数（市外児童含む）【人】</t>
    <rPh sb="0" eb="1">
      <t>カク</t>
    </rPh>
    <rPh sb="1" eb="2">
      <t>ツキ</t>
    </rPh>
    <rPh sb="2" eb="4">
      <t>ショニチ</t>
    </rPh>
    <rPh sb="8" eb="10">
      <t>リヨウ</t>
    </rPh>
    <rPh sb="10" eb="12">
      <t>ジドウ</t>
    </rPh>
    <rPh sb="12" eb="13">
      <t>スウ</t>
    </rPh>
    <rPh sb="14" eb="16">
      <t>シガイ</t>
    </rPh>
    <rPh sb="16" eb="18">
      <t>ジドウ</t>
    </rPh>
    <rPh sb="18" eb="19">
      <t>フク</t>
    </rPh>
    <rPh sb="21" eb="24">
      <t>「ニン」</t>
    </rPh>
    <phoneticPr fontId="1"/>
  </si>
  <si>
    <t>→</t>
    <phoneticPr fontId="1"/>
  </si>
  <si>
    <t>小数第二位以下切捨</t>
    <rPh sb="4" eb="5">
      <t>イ</t>
    </rPh>
    <phoneticPr fontId="1"/>
  </si>
  <si>
    <t>調整…Ｂ</t>
    <rPh sb="0" eb="2">
      <t>チョウセイ</t>
    </rPh>
    <phoneticPr fontId="1"/>
  </si>
  <si>
    <t>常勤換算数</t>
    <rPh sb="0" eb="5">
      <t>ジョウキンカンサンスウ</t>
    </rPh>
    <phoneticPr fontId="1"/>
  </si>
  <si>
    <t>正職</t>
    <rPh sb="0" eb="2">
      <t>セイショク</t>
    </rPh>
    <phoneticPr fontId="1"/>
  </si>
  <si>
    <t>臨職</t>
    <rPh sb="0" eb="2">
      <t>リンショク</t>
    </rPh>
    <phoneticPr fontId="1"/>
  </si>
  <si>
    <t>常勤</t>
    <rPh sb="0" eb="2">
      <t>ジョウキン</t>
    </rPh>
    <phoneticPr fontId="1"/>
  </si>
  <si>
    <t>学校医</t>
    <rPh sb="0" eb="2">
      <t>ガッコウ</t>
    </rPh>
    <rPh sb="2" eb="3">
      <t>イ</t>
    </rPh>
    <phoneticPr fontId="1"/>
  </si>
  <si>
    <t>その他</t>
    <rPh sb="2" eb="3">
      <t>タ</t>
    </rPh>
    <phoneticPr fontId="1"/>
  </si>
  <si>
    <t>時間数</t>
    <rPh sb="0" eb="3">
      <t>ジカンスウ</t>
    </rPh>
    <phoneticPr fontId="1"/>
  </si>
  <si>
    <t>職種</t>
    <rPh sb="0" eb="2">
      <t>ショクシュ</t>
    </rPh>
    <phoneticPr fontId="1"/>
  </si>
  <si>
    <t>事務</t>
    <rPh sb="0" eb="2">
      <t>ジム</t>
    </rPh>
    <phoneticPr fontId="1"/>
  </si>
  <si>
    <t>３　配置数</t>
    <rPh sb="2" eb="4">
      <t>ハイチ</t>
    </rPh>
    <rPh sb="4" eb="5">
      <t>スウ</t>
    </rPh>
    <phoneticPr fontId="1"/>
  </si>
  <si>
    <t>4　必要職員数及び職員数算出</t>
    <rPh sb="2" eb="4">
      <t>ヒツヨウ</t>
    </rPh>
    <rPh sb="4" eb="6">
      <t>ショクイン</t>
    </rPh>
    <rPh sb="6" eb="7">
      <t>スウ</t>
    </rPh>
    <rPh sb="7" eb="8">
      <t>オヨ</t>
    </rPh>
    <rPh sb="9" eb="14">
      <t>ショクインスウサンシュツ</t>
    </rPh>
    <phoneticPr fontId="1"/>
  </si>
  <si>
    <t>-</t>
    <phoneticPr fontId="1"/>
  </si>
  <si>
    <t>講師配置加算</t>
    <rPh sb="0" eb="6">
      <t>コウシハイチカサン</t>
    </rPh>
    <phoneticPr fontId="1"/>
  </si>
  <si>
    <t>指導充実加配加算</t>
    <rPh sb="0" eb="8">
      <t>シドウジュウジツカハイカサン</t>
    </rPh>
    <phoneticPr fontId="1"/>
  </si>
  <si>
    <t>-</t>
    <phoneticPr fontId="1"/>
  </si>
  <si>
    <t>常勤事務員</t>
    <rPh sb="0" eb="5">
      <t>ジョウキンジムイン</t>
    </rPh>
    <phoneticPr fontId="1"/>
  </si>
  <si>
    <t>範囲</t>
    <rPh sb="0" eb="2">
      <t>ハンイ</t>
    </rPh>
    <phoneticPr fontId="1"/>
  </si>
  <si>
    <t>名前登録～上端行で登録↓</t>
    <rPh sb="0" eb="2">
      <t>ナマエ</t>
    </rPh>
    <rPh sb="2" eb="4">
      <t>トウロク</t>
    </rPh>
    <rPh sb="5" eb="7">
      <t>ジョウタン</t>
    </rPh>
    <rPh sb="7" eb="8">
      <t>ギョウ</t>
    </rPh>
    <rPh sb="9" eb="11">
      <t>トウロク</t>
    </rPh>
    <phoneticPr fontId="1"/>
  </si>
  <si>
    <t>申請</t>
    <rPh sb="0" eb="2">
      <t>シンセイ</t>
    </rPh>
    <phoneticPr fontId="1"/>
  </si>
  <si>
    <t>条件</t>
    <rPh sb="0" eb="2">
      <t>ジョウケン</t>
    </rPh>
    <phoneticPr fontId="1"/>
  </si>
  <si>
    <t>足して小数第一位四捨五入</t>
    <rPh sb="0" eb="1">
      <t>タ</t>
    </rPh>
    <rPh sb="6" eb="7">
      <t>１</t>
    </rPh>
    <rPh sb="7" eb="8">
      <t>イ</t>
    </rPh>
    <rPh sb="8" eb="12">
      <t>シシャゴニュウ</t>
    </rPh>
    <phoneticPr fontId="1"/>
  </si>
  <si>
    <t>加算要件
（１～2の要件全てに該当している場合に加算）</t>
    <rPh sb="0" eb="2">
      <t>カサン</t>
    </rPh>
    <rPh sb="2" eb="4">
      <t>ヨウケン</t>
    </rPh>
    <phoneticPr fontId="1"/>
  </si>
  <si>
    <t>加算要件
（１～2の要件全てに該当する場合に加算）</t>
    <rPh sb="0" eb="2">
      <t>カサン</t>
    </rPh>
    <rPh sb="2" eb="4">
      <t>ヨウケン</t>
    </rPh>
    <phoneticPr fontId="1"/>
  </si>
  <si>
    <t>-</t>
    <phoneticPr fontId="1"/>
  </si>
  <si>
    <t>職種</t>
    <rPh sb="0" eb="2">
      <t>ショクシュ</t>
    </rPh>
    <phoneticPr fontId="1"/>
  </si>
  <si>
    <t>施設長</t>
    <phoneticPr fontId="1"/>
  </si>
  <si>
    <t>-</t>
    <phoneticPr fontId="1"/>
  </si>
  <si>
    <t>【人/月】</t>
    <rPh sb="0" eb="5">
      <t>「ニン／ツキ」</t>
    </rPh>
    <phoneticPr fontId="1"/>
  </si>
  <si>
    <t>-</t>
    <phoneticPr fontId="1"/>
  </si>
  <si>
    <t>-</t>
    <phoneticPr fontId="1"/>
  </si>
  <si>
    <t>-</t>
    <phoneticPr fontId="1"/>
  </si>
  <si>
    <t>人/月</t>
    <rPh sb="0" eb="1">
      <t>ニン</t>
    </rPh>
    <rPh sb="2" eb="3">
      <t>ツキ</t>
    </rPh>
    <phoneticPr fontId="1"/>
  </si>
  <si>
    <t>※</t>
    <phoneticPr fontId="1"/>
  </si>
  <si>
    <t>【確認】基本配置の調理員の配置状況</t>
    <rPh sb="1" eb="3">
      <t>カクニン</t>
    </rPh>
    <rPh sb="4" eb="6">
      <t>キホン</t>
    </rPh>
    <rPh sb="6" eb="8">
      <t>ハイチ</t>
    </rPh>
    <rPh sb="9" eb="12">
      <t>チョウリイン</t>
    </rPh>
    <rPh sb="13" eb="15">
      <t>ハイチ</t>
    </rPh>
    <rPh sb="15" eb="17">
      <t>ジョウキョウ</t>
    </rPh>
    <phoneticPr fontId="1"/>
  </si>
  <si>
    <t>直接雇用している
(栄養管理(配置)で雇用した栄養士を除く。)</t>
    <rPh sb="0" eb="2">
      <t>チョクセツ</t>
    </rPh>
    <rPh sb="2" eb="4">
      <t>コヨウ</t>
    </rPh>
    <rPh sb="10" eb="12">
      <t>エイヨウ</t>
    </rPh>
    <phoneticPr fontId="1"/>
  </si>
  <si>
    <t>※</t>
    <phoneticPr fontId="1"/>
  </si>
  <si>
    <t>【確認】調理員の配置状況(様式5)</t>
    <rPh sb="0" eb="4">
      <t>「カクニン」</t>
    </rPh>
    <rPh sb="13" eb="15">
      <t>ヨウシキ</t>
    </rPh>
    <phoneticPr fontId="1"/>
  </si>
  <si>
    <t>利用定員36人以上300人以下の場合は教諭１人</t>
    <rPh sb="0" eb="2">
      <t>リヨウ</t>
    </rPh>
    <rPh sb="2" eb="4">
      <t>テイイン</t>
    </rPh>
    <rPh sb="6" eb="9">
      <t>ニンイジョウ</t>
    </rPh>
    <rPh sb="12" eb="15">
      <t>ニンイカ</t>
    </rPh>
    <rPh sb="16" eb="18">
      <t>バアイ</t>
    </rPh>
    <rPh sb="19" eb="21">
      <t>キョウユ</t>
    </rPh>
    <rPh sb="22" eb="23">
      <t>ニン</t>
    </rPh>
    <phoneticPr fontId="1"/>
  </si>
  <si>
    <t>園長非専従の場合は幼稚園設置基準第５条第３項に規定する教諭１人</t>
    <rPh sb="6" eb="8">
      <t>バアイ</t>
    </rPh>
    <rPh sb="30" eb="31">
      <t>ニン</t>
    </rPh>
    <phoneticPr fontId="1"/>
  </si>
  <si>
    <r>
      <rPr>
        <b/>
        <sz val="10"/>
        <color rgb="FFFF0000"/>
        <rFont val="ＭＳ 明朝"/>
        <family val="1"/>
        <charset val="128"/>
      </rPr>
      <t>「月初日(1日時点)」</t>
    </r>
    <r>
      <rPr>
        <sz val="10"/>
        <color theme="1"/>
        <rFont val="ＭＳ 明朝"/>
        <family val="1"/>
        <charset val="128"/>
      </rPr>
      <t>かつ</t>
    </r>
    <r>
      <rPr>
        <b/>
        <sz val="10"/>
        <color rgb="FFFF0000"/>
        <rFont val="ＭＳ 明朝"/>
        <family val="1"/>
        <charset val="128"/>
      </rPr>
      <t>「クラス年齢」</t>
    </r>
    <r>
      <rPr>
        <sz val="10"/>
        <color theme="1"/>
        <rFont val="ＭＳ 明朝"/>
        <family val="1"/>
        <charset val="128"/>
      </rPr>
      <t>の児童数を下記に入力すること。</t>
    </r>
    <rPh sb="1" eb="2">
      <t>ツキ</t>
    </rPh>
    <rPh sb="2" eb="4">
      <t>ショニチ</t>
    </rPh>
    <rPh sb="6" eb="7">
      <t>ニチ</t>
    </rPh>
    <rPh sb="7" eb="9">
      <t>ジテン</t>
    </rPh>
    <rPh sb="17" eb="19">
      <t>ネンレイ</t>
    </rPh>
    <rPh sb="21" eb="23">
      <t>ジドウ</t>
    </rPh>
    <rPh sb="23" eb="24">
      <t>スウ</t>
    </rPh>
    <rPh sb="25" eb="27">
      <t>カキ</t>
    </rPh>
    <rPh sb="28" eb="30">
      <t>ニュウリョク</t>
    </rPh>
    <phoneticPr fontId="1"/>
  </si>
  <si>
    <t>-</t>
    <phoneticPr fontId="1"/>
  </si>
  <si>
    <t>-</t>
    <phoneticPr fontId="1"/>
  </si>
  <si>
    <t>その他+教諭（発令無）</t>
    <rPh sb="2" eb="3">
      <t>タ</t>
    </rPh>
    <rPh sb="4" eb="6">
      <t>キョウユ</t>
    </rPh>
    <rPh sb="7" eb="10">
      <t>ハツレイナシ</t>
    </rPh>
    <phoneticPr fontId="1"/>
  </si>
  <si>
    <t>委託</t>
    <rPh sb="0" eb="2">
      <t>イタク</t>
    </rPh>
    <phoneticPr fontId="1"/>
  </si>
  <si>
    <t>委託先会社名</t>
    <rPh sb="0" eb="5">
      <t>イタクサキカイシャ</t>
    </rPh>
    <rPh sb="5" eb="6">
      <t>メイ</t>
    </rPh>
    <phoneticPr fontId="1"/>
  </si>
  <si>
    <t>①　委託先</t>
    <rPh sb="2" eb="5">
      <t>イタクサキ</t>
    </rPh>
    <phoneticPr fontId="3"/>
  </si>
  <si>
    <t>-</t>
    <phoneticPr fontId="1"/>
  </si>
  <si>
    <t>委託</t>
    <rPh sb="0" eb="2">
      <t>イタク</t>
    </rPh>
    <phoneticPr fontId="1"/>
  </si>
  <si>
    <t>調理員（委託）</t>
    <rPh sb="0" eb="3">
      <t>チョウリイン</t>
    </rPh>
    <rPh sb="4" eb="6">
      <t>イタク</t>
    </rPh>
    <phoneticPr fontId="1"/>
  </si>
  <si>
    <t>事務員（委託）</t>
    <rPh sb="0" eb="2">
      <t>ジム</t>
    </rPh>
    <rPh sb="2" eb="3">
      <t>イン</t>
    </rPh>
    <rPh sb="4" eb="6">
      <t>イタク</t>
    </rPh>
    <phoneticPr fontId="1"/>
  </si>
  <si>
    <t>その他（委託）</t>
    <rPh sb="2" eb="3">
      <t>タ</t>
    </rPh>
    <rPh sb="4" eb="6">
      <t>イタク</t>
    </rPh>
    <phoneticPr fontId="1"/>
  </si>
  <si>
    <t>●　業務委託</t>
    <rPh sb="2" eb="6">
      <t>ギョウムイタク</t>
    </rPh>
    <phoneticPr fontId="1"/>
  </si>
  <si>
    <t>●　雇用職員</t>
    <rPh sb="2" eb="4">
      <t>コヨウ</t>
    </rPh>
    <rPh sb="4" eb="6">
      <t>ショクイン</t>
    </rPh>
    <phoneticPr fontId="1"/>
  </si>
  <si>
    <t>①　職員氏名/委託先：「業務委託」➡委託先会社名／「雇用職員」➡職員氏名　を誤りなく記載してください。</t>
    <rPh sb="2" eb="4">
      <t>ショクイン</t>
    </rPh>
    <rPh sb="4" eb="6">
      <t>シメイ</t>
    </rPh>
    <rPh sb="7" eb="10">
      <t>イタクサキ</t>
    </rPh>
    <rPh sb="12" eb="16">
      <t>ギョウムイタク</t>
    </rPh>
    <rPh sb="18" eb="24">
      <t>イタクサキカイシャメイ</t>
    </rPh>
    <rPh sb="26" eb="30">
      <t>コヨウショクイン</t>
    </rPh>
    <rPh sb="32" eb="34">
      <t>ショクイン</t>
    </rPh>
    <rPh sb="34" eb="36">
      <t>シメイ</t>
    </rPh>
    <rPh sb="38" eb="39">
      <t>アヤマ</t>
    </rPh>
    <rPh sb="42" eb="44">
      <t>キサイ</t>
    </rPh>
    <phoneticPr fontId="1"/>
  </si>
  <si>
    <t>　・　幼稚園教諭免許無い者もしくは保育士資格のみの者は「その他」となります。また、教頭・副園長は資格がない場合でも「教諭」とすることができます。</t>
    <rPh sb="41" eb="43">
      <t>キョウトウ</t>
    </rPh>
    <rPh sb="44" eb="47">
      <t>フクエンチョウ</t>
    </rPh>
    <rPh sb="48" eb="50">
      <t>シカク</t>
    </rPh>
    <rPh sb="53" eb="55">
      <t>バアイ</t>
    </rPh>
    <rPh sb="58" eb="60">
      <t>キョウユ</t>
    </rPh>
    <phoneticPr fontId="1"/>
  </si>
  <si>
    <t>勤務時間/月</t>
    <phoneticPr fontId="1"/>
  </si>
  <si>
    <t>【時間】</t>
    <rPh sb="1" eb="3">
      <t>ジカン</t>
    </rPh>
    <phoneticPr fontId="1"/>
  </si>
  <si>
    <t>&lt;職員名簿&gt;</t>
    <rPh sb="1" eb="3">
      <t>ショクイン</t>
    </rPh>
    <rPh sb="3" eb="5">
      <t>メイボ</t>
    </rPh>
    <phoneticPr fontId="1"/>
  </si>
  <si>
    <t>業務委託</t>
    <rPh sb="0" eb="4">
      <t>ギョウムイタク</t>
    </rPh>
    <phoneticPr fontId="1"/>
  </si>
  <si>
    <t>調理員</t>
    <rPh sb="0" eb="3">
      <t>チョウリイン</t>
    </rPh>
    <phoneticPr fontId="1"/>
  </si>
  <si>
    <t>常勤換算数【人/月】</t>
    <rPh sb="0" eb="5">
      <t>ジョウキンカンサンスウ</t>
    </rPh>
    <rPh sb="5" eb="10">
      <t>「ニン／ツキ」</t>
    </rPh>
    <phoneticPr fontId="1"/>
  </si>
  <si>
    <t>常勤-時短/兼務</t>
    <rPh sb="0" eb="2">
      <t>ジョウキン</t>
    </rPh>
    <rPh sb="3" eb="5">
      <t>ジタン</t>
    </rPh>
    <rPh sb="6" eb="8">
      <t>ケンム</t>
    </rPh>
    <phoneticPr fontId="1"/>
  </si>
  <si>
    <t>他職種への流用…C</t>
    <rPh sb="0" eb="1">
      <t>ホカ</t>
    </rPh>
    <rPh sb="1" eb="3">
      <t>ショクシュ</t>
    </rPh>
    <rPh sb="5" eb="7">
      <t>リュウヨウ</t>
    </rPh>
    <phoneticPr fontId="1"/>
  </si>
  <si>
    <t>実配置数…A-B+C(※)</t>
    <rPh sb="0" eb="1">
      <t>ジツ</t>
    </rPh>
    <rPh sb="1" eb="4">
      <t>ハイチスウ</t>
    </rPh>
    <phoneticPr fontId="1"/>
  </si>
  <si>
    <t>職員数（札幌市確認用）</t>
    <rPh sb="0" eb="3">
      <t>ショクインスウ</t>
    </rPh>
    <rPh sb="4" eb="10">
      <t>サッポロシカクニンヨウ</t>
    </rPh>
    <phoneticPr fontId="1"/>
  </si>
  <si>
    <t>基本配置</t>
    <rPh sb="0" eb="4">
      <t>キホンハイチ</t>
    </rPh>
    <phoneticPr fontId="1"/>
  </si>
  <si>
    <t>教職員</t>
    <rPh sb="0" eb="3">
      <t>キョウショクイン</t>
    </rPh>
    <phoneticPr fontId="1"/>
  </si>
  <si>
    <t>加算・減算等</t>
    <rPh sb="0" eb="2">
      <t>カサン</t>
    </rPh>
    <rPh sb="3" eb="6">
      <t>ゲンサントウ</t>
    </rPh>
    <phoneticPr fontId="1"/>
  </si>
  <si>
    <t>調理員</t>
    <rPh sb="0" eb="3">
      <t>チョウリイン</t>
    </rPh>
    <phoneticPr fontId="1"/>
  </si>
  <si>
    <t>事務員</t>
    <rPh sb="0" eb="3">
      <t>ジムイン</t>
    </rPh>
    <phoneticPr fontId="1"/>
  </si>
  <si>
    <t>その他</t>
    <rPh sb="2" eb="3">
      <t>タ</t>
    </rPh>
    <phoneticPr fontId="1"/>
  </si>
  <si>
    <t>区分</t>
    <rPh sb="0" eb="2">
      <t>クブン</t>
    </rPh>
    <phoneticPr fontId="1"/>
  </si>
  <si>
    <t>施設長（基本配置）</t>
    <rPh sb="0" eb="3">
      <t>シセツチョウ</t>
    </rPh>
    <rPh sb="4" eb="8">
      <t>キホンハイチ</t>
    </rPh>
    <phoneticPr fontId="1"/>
  </si>
  <si>
    <t>事務（基本配置）</t>
    <rPh sb="0" eb="2">
      <t>ジム</t>
    </rPh>
    <rPh sb="3" eb="7">
      <t>キホンハイチ</t>
    </rPh>
    <phoneticPr fontId="1"/>
  </si>
  <si>
    <t>学校医（基本配置）</t>
    <rPh sb="0" eb="3">
      <t>ガッコウイ</t>
    </rPh>
    <rPh sb="4" eb="8">
      <t>キホンハイチ</t>
    </rPh>
    <phoneticPr fontId="1"/>
  </si>
  <si>
    <t>常勤・非常勤
※時短勤務は非常勤</t>
    <rPh sb="0" eb="2">
      <t>ジョウキン</t>
    </rPh>
    <rPh sb="3" eb="6">
      <t>ヒジョウキン</t>
    </rPh>
    <rPh sb="8" eb="10">
      <t>ジタン</t>
    </rPh>
    <rPh sb="10" eb="12">
      <t>キンム</t>
    </rPh>
    <rPh sb="13" eb="16">
      <t>ヒジョウキン</t>
    </rPh>
    <phoneticPr fontId="1"/>
  </si>
  <si>
    <t>初日時点の契約状況</t>
    <rPh sb="0" eb="2">
      <t>ショニチ</t>
    </rPh>
    <rPh sb="2" eb="4">
      <t>ジテン</t>
    </rPh>
    <rPh sb="5" eb="7">
      <t>ケイヤク</t>
    </rPh>
    <rPh sb="7" eb="9">
      <t>ジョウキョウ</t>
    </rPh>
    <phoneticPr fontId="1"/>
  </si>
  <si>
    <t>敬老の日</t>
    <rPh sb="0" eb="2">
      <t>ケイロウ</t>
    </rPh>
    <rPh sb="3" eb="4">
      <t>ヒ</t>
    </rPh>
    <phoneticPr fontId="1"/>
  </si>
  <si>
    <t>別紙４（「加算：通園送迎加算」の添付書類）</t>
    <rPh sb="0" eb="2">
      <t>ベッシ</t>
    </rPh>
    <rPh sb="5" eb="7">
      <t>カサン</t>
    </rPh>
    <rPh sb="8" eb="10">
      <t>ツウエン</t>
    </rPh>
    <rPh sb="10" eb="12">
      <t>ソウゲイ</t>
    </rPh>
    <rPh sb="12" eb="14">
      <t>カサン</t>
    </rPh>
    <rPh sb="16" eb="18">
      <t>テンプ</t>
    </rPh>
    <rPh sb="18" eb="20">
      <t>ショルイ</t>
    </rPh>
    <phoneticPr fontId="1"/>
  </si>
  <si>
    <t>別紙１（「加算：副園長・教頭配置加算」の添付書類）</t>
    <rPh sb="0" eb="2">
      <t>ベッシ</t>
    </rPh>
    <rPh sb="5" eb="7">
      <t>カサン</t>
    </rPh>
    <rPh sb="8" eb="9">
      <t>フク</t>
    </rPh>
    <rPh sb="9" eb="11">
      <t>エンチョウ</t>
    </rPh>
    <rPh sb="12" eb="14">
      <t>キョウトウ</t>
    </rPh>
    <rPh sb="14" eb="16">
      <t>ハイチ</t>
    </rPh>
    <rPh sb="16" eb="18">
      <t>カサン</t>
    </rPh>
    <rPh sb="20" eb="22">
      <t>テンプ</t>
    </rPh>
    <rPh sb="22" eb="24">
      <t>ショルイ</t>
    </rPh>
    <phoneticPr fontId="1"/>
  </si>
  <si>
    <t>　就業規則等で定める常勤教職員１人の１か月の所定労働時間(休憩時間を含まない。)を記載すること。ただし、150時間未満の場合は根拠・理由を記載すること。</t>
    <phoneticPr fontId="1"/>
  </si>
  <si>
    <t>③形態</t>
    <rPh sb="1" eb="3">
      <t>ケイタイ</t>
    </rPh>
    <phoneticPr fontId="3"/>
  </si>
  <si>
    <t>④契約開始日</t>
    <rPh sb="1" eb="3">
      <t>ケイヤク</t>
    </rPh>
    <rPh sb="3" eb="5">
      <t>カイシ</t>
    </rPh>
    <rPh sb="5" eb="6">
      <t>ビ</t>
    </rPh>
    <phoneticPr fontId="1"/>
  </si>
  <si>
    <t>④　雇用/契約開始日：雇用（業務委託の場合は契約）開始日を記載してください。記載は西暦で「○○年△月□日」の場合は「○○/△/□」です。</t>
    <rPh sb="2" eb="4">
      <t>コヨウ</t>
    </rPh>
    <rPh sb="5" eb="7">
      <t>ケイヤク</t>
    </rPh>
    <rPh sb="7" eb="10">
      <t>カイシビ</t>
    </rPh>
    <rPh sb="11" eb="13">
      <t>コヨウ</t>
    </rPh>
    <rPh sb="14" eb="18">
      <t>ギョウムイタク</t>
    </rPh>
    <rPh sb="19" eb="21">
      <t>バアイ</t>
    </rPh>
    <rPh sb="22" eb="24">
      <t>ケイヤク</t>
    </rPh>
    <rPh sb="25" eb="28">
      <t>カイシビ</t>
    </rPh>
    <rPh sb="29" eb="31">
      <t>キサイ</t>
    </rPh>
    <rPh sb="38" eb="40">
      <t>キサイ</t>
    </rPh>
    <rPh sb="41" eb="43">
      <t>セイレキ</t>
    </rPh>
    <rPh sb="47" eb="48">
      <t>ネン</t>
    </rPh>
    <rPh sb="49" eb="50">
      <t>ガツ</t>
    </rPh>
    <rPh sb="51" eb="52">
      <t>ニチ</t>
    </rPh>
    <rPh sb="54" eb="56">
      <t>バアイ</t>
    </rPh>
    <phoneticPr fontId="1"/>
  </si>
  <si>
    <t>④雇用開始日</t>
    <rPh sb="3" eb="5">
      <t>カイシ</t>
    </rPh>
    <rPh sb="5" eb="6">
      <t>ビ</t>
    </rPh>
    <phoneticPr fontId="1"/>
  </si>
  <si>
    <t>計
（常勤＋非常勤）</t>
    <rPh sb="0" eb="1">
      <t>ケイ</t>
    </rPh>
    <rPh sb="3" eb="5">
      <t>ジョウキン</t>
    </rPh>
    <rPh sb="6" eb="9">
      <t>ヒジョウキン</t>
    </rPh>
    <phoneticPr fontId="1"/>
  </si>
  <si>
    <t>職種区分</t>
    <rPh sb="0" eb="4">
      <t>ショクシュクブン</t>
    </rPh>
    <phoneticPr fontId="1"/>
  </si>
  <si>
    <t>初日時点の契約状況</t>
    <rPh sb="0" eb="4">
      <t>ショニチジテン</t>
    </rPh>
    <rPh sb="5" eb="9">
      <t>ケイヤクジョウキョウ</t>
    </rPh>
    <phoneticPr fontId="1"/>
  </si>
  <si>
    <t>常勤・非常勤</t>
    <rPh sb="0" eb="2">
      <t>ジョウキン</t>
    </rPh>
    <rPh sb="3" eb="6">
      <t>ヒジョウキン</t>
    </rPh>
    <phoneticPr fontId="1"/>
  </si>
  <si>
    <t>雇用開始日</t>
    <rPh sb="0" eb="5">
      <t>コヨウカイシビ</t>
    </rPh>
    <phoneticPr fontId="1"/>
  </si>
  <si>
    <t>その他
補助金名等を記載すること➡</t>
    <rPh sb="2" eb="3">
      <t>タ</t>
    </rPh>
    <rPh sb="5" eb="10">
      <t>ホジョキンメイトウ</t>
    </rPh>
    <rPh sb="11" eb="13">
      <t>キサイ</t>
    </rPh>
    <phoneticPr fontId="1"/>
  </si>
  <si>
    <t>公定価格</t>
    <rPh sb="0" eb="4">
      <t>コウテイカカク</t>
    </rPh>
    <phoneticPr fontId="1"/>
  </si>
  <si>
    <t>補助金担当</t>
    <rPh sb="0" eb="3">
      <t>ホジョキン</t>
    </rPh>
    <rPh sb="3" eb="5">
      <t>タントウ</t>
    </rPh>
    <phoneticPr fontId="1"/>
  </si>
  <si>
    <t>教諭※</t>
    <rPh sb="0" eb="2">
      <t>キョウユ</t>
    </rPh>
    <phoneticPr fontId="1"/>
  </si>
  <si>
    <t>※　非常勤に委託を含む。</t>
    <rPh sb="2" eb="5">
      <t>ヒジョウキン</t>
    </rPh>
    <rPh sb="6" eb="8">
      <t>イタク</t>
    </rPh>
    <rPh sb="9" eb="10">
      <t>フク</t>
    </rPh>
    <phoneticPr fontId="1"/>
  </si>
  <si>
    <t>非常勤※</t>
    <rPh sb="0" eb="3">
      <t>ヒジョウキン</t>
    </rPh>
    <phoneticPr fontId="1"/>
  </si>
  <si>
    <t>(うち委託分)</t>
    <rPh sb="3" eb="5">
      <t>イタク</t>
    </rPh>
    <rPh sb="5" eb="6">
      <t>ブン</t>
    </rPh>
    <phoneticPr fontId="1"/>
  </si>
  <si>
    <r>
      <t>　・　修業日は、</t>
    </r>
    <r>
      <rPr>
        <b/>
        <u/>
        <sz val="10"/>
        <rFont val="ＭＳ 明朝"/>
        <family val="1"/>
        <charset val="128"/>
      </rPr>
      <t>通常教育提供日</t>
    </r>
    <r>
      <rPr>
        <sz val="10"/>
        <rFont val="ＭＳ 明朝"/>
        <family val="1"/>
        <charset val="128"/>
      </rPr>
      <t>にドロップダウンから「○」を入力してください。また、４月～３月のすべてを埋めてください。</t>
    </r>
    <rPh sb="3" eb="5">
      <t>シュウギョウ</t>
    </rPh>
    <rPh sb="5" eb="6">
      <t>ビ</t>
    </rPh>
    <rPh sb="42" eb="43">
      <t>ガツ</t>
    </rPh>
    <rPh sb="45" eb="46">
      <t>ガツ</t>
    </rPh>
    <rPh sb="51" eb="52">
      <t>ウ</t>
    </rPh>
    <phoneticPr fontId="1"/>
  </si>
  <si>
    <t>修業日数(計)：</t>
    <rPh sb="0" eb="2">
      <t>シュウギョウ</t>
    </rPh>
    <rPh sb="2" eb="3">
      <t>ビ</t>
    </rPh>
    <rPh sb="3" eb="4">
      <t>スウ</t>
    </rPh>
    <rPh sb="5" eb="6">
      <t>ケイ</t>
    </rPh>
    <phoneticPr fontId="1"/>
  </si>
  <si>
    <t>給食日数(計)：</t>
    <rPh sb="0" eb="2">
      <t>キュウショク</t>
    </rPh>
    <rPh sb="2" eb="3">
      <t>ビ</t>
    </rPh>
    <rPh sb="3" eb="4">
      <t>スウ</t>
    </rPh>
    <rPh sb="5" eb="6">
      <t>ケイ</t>
    </rPh>
    <phoneticPr fontId="1"/>
  </si>
  <si>
    <t>記</t>
    <rPh sb="0" eb="1">
      <t>キ</t>
    </rPh>
    <phoneticPr fontId="1"/>
  </si>
  <si>
    <t>申請状況</t>
    <rPh sb="0" eb="4">
      <t>シンセイジョウキョウ</t>
    </rPh>
    <phoneticPr fontId="1"/>
  </si>
  <si>
    <t>判定（取得数）</t>
    <rPh sb="0" eb="2">
      <t>ハンテイ</t>
    </rPh>
    <rPh sb="3" eb="5">
      <t>シュトク</t>
    </rPh>
    <rPh sb="5" eb="6">
      <t>スウ</t>
    </rPh>
    <phoneticPr fontId="1"/>
  </si>
  <si>
    <t>担当者名</t>
    <rPh sb="0" eb="4">
      <t>タントウシャメイ</t>
    </rPh>
    <phoneticPr fontId="1"/>
  </si>
  <si>
    <t>エラー確認</t>
    <rPh sb="3" eb="5">
      <t>カクニン</t>
    </rPh>
    <phoneticPr fontId="1"/>
  </si>
  <si>
    <t>-</t>
  </si>
  <si>
    <t>-</t>
    <phoneticPr fontId="1"/>
  </si>
  <si>
    <t>-</t>
    <phoneticPr fontId="1"/>
  </si>
  <si>
    <t>-</t>
    <phoneticPr fontId="1"/>
  </si>
  <si>
    <t>-</t>
    <phoneticPr fontId="1"/>
  </si>
  <si>
    <t>常勤</t>
    <rPh sb="0" eb="2">
      <t>ジョウキン</t>
    </rPh>
    <phoneticPr fontId="1"/>
  </si>
  <si>
    <t>教育時間/勤務時間</t>
    <phoneticPr fontId="1"/>
  </si>
  <si>
    <t>→</t>
    <phoneticPr fontId="1"/>
  </si>
  <si>
    <t>0.5のうち大きい方</t>
    <phoneticPr fontId="1"/>
  </si>
  <si>
    <t>-</t>
    <phoneticPr fontId="1"/>
  </si>
  <si>
    <t>-</t>
    <phoneticPr fontId="1"/>
  </si>
  <si>
    <t>…ア</t>
    <phoneticPr fontId="1"/>
  </si>
  <si>
    <t>…イ</t>
    <phoneticPr fontId="1"/>
  </si>
  <si>
    <t>(4) 加算対象職員数：(2)と(3)のうち小さい方</t>
    <rPh sb="22" eb="23">
      <t>チイ</t>
    </rPh>
    <rPh sb="25" eb="26">
      <t>ホウ</t>
    </rPh>
    <phoneticPr fontId="1"/>
  </si>
  <si>
    <t>-</t>
    <phoneticPr fontId="1"/>
  </si>
  <si>
    <t>対象</t>
    <rPh sb="0" eb="2">
      <t>タイショウ</t>
    </rPh>
    <phoneticPr fontId="1"/>
  </si>
  <si>
    <t>重複</t>
    <rPh sb="0" eb="2">
      <t>チョウフク</t>
    </rPh>
    <phoneticPr fontId="1"/>
  </si>
  <si>
    <t>名簿有無</t>
    <rPh sb="0" eb="2">
      <t>メイボ</t>
    </rPh>
    <rPh sb="2" eb="4">
      <t>ウム</t>
    </rPh>
    <phoneticPr fontId="1"/>
  </si>
  <si>
    <t>エラー確認</t>
    <rPh sb="3" eb="5">
      <t>カクニン</t>
    </rPh>
    <phoneticPr fontId="1"/>
  </si>
  <si>
    <t>判定</t>
    <rPh sb="0" eb="2">
      <t>ハンテイ</t>
    </rPh>
    <phoneticPr fontId="1"/>
  </si>
  <si>
    <t>-</t>
    <phoneticPr fontId="1"/>
  </si>
  <si>
    <t>合計(参考)</t>
    <rPh sb="0" eb="2">
      <t>ゴウケイ</t>
    </rPh>
    <rPh sb="3" eb="5">
      <t>サンコウ</t>
    </rPh>
    <phoneticPr fontId="1"/>
  </si>
  <si>
    <t>業務委託</t>
  </si>
  <si>
    <t>業務委託</t>
    <rPh sb="0" eb="4">
      <t>ギョウムイタク</t>
    </rPh>
    <phoneticPr fontId="1"/>
  </si>
  <si>
    <t>時間</t>
    <rPh sb="0" eb="2">
      <t>ジカン</t>
    </rPh>
    <phoneticPr fontId="1"/>
  </si>
  <si>
    <t>パターン</t>
    <phoneticPr fontId="1"/>
  </si>
  <si>
    <t>○</t>
    <phoneticPr fontId="1"/>
  </si>
  <si>
    <t>パターン</t>
    <phoneticPr fontId="1"/>
  </si>
  <si>
    <t>-</t>
    <phoneticPr fontId="1"/>
  </si>
  <si>
    <t>業務委託</t>
    <phoneticPr fontId="1"/>
  </si>
  <si>
    <t>副園長</t>
    <rPh sb="0" eb="3">
      <t>フクエンチョウ</t>
    </rPh>
    <phoneticPr fontId="1"/>
  </si>
  <si>
    <t>-</t>
    <phoneticPr fontId="1"/>
  </si>
  <si>
    <t>調理員へ変更</t>
    <rPh sb="4" eb="6">
      <t>ヘンコウ</t>
    </rPh>
    <phoneticPr fontId="1"/>
  </si>
  <si>
    <t>事務員へ変更</t>
    <rPh sb="4" eb="6">
      <t>ヘンコウ</t>
    </rPh>
    <phoneticPr fontId="1"/>
  </si>
  <si>
    <t>下限調整</t>
    <rPh sb="0" eb="4">
      <t>カゲンチョウセイ</t>
    </rPh>
    <phoneticPr fontId="1"/>
  </si>
  <si>
    <t>パターン</t>
    <phoneticPr fontId="1"/>
  </si>
  <si>
    <t>判定</t>
    <rPh sb="0" eb="2">
      <t>ハンテイ</t>
    </rPh>
    <phoneticPr fontId="1"/>
  </si>
  <si>
    <t>下限調整なし</t>
    <rPh sb="0" eb="4">
      <t>カゲンチョウセイ</t>
    </rPh>
    <phoneticPr fontId="1"/>
  </si>
  <si>
    <t>担当時間調整あり</t>
    <rPh sb="0" eb="6">
      <t>タントウジカンチョウセイ</t>
    </rPh>
    <phoneticPr fontId="1"/>
  </si>
  <si>
    <t>エラー</t>
    <phoneticPr fontId="1"/>
  </si>
  <si>
    <t>時間数</t>
    <rPh sb="0" eb="3">
      <t>ジカンスウ</t>
    </rPh>
    <phoneticPr fontId="1"/>
  </si>
  <si>
    <t>-</t>
    <phoneticPr fontId="1"/>
  </si>
  <si>
    <t>-</t>
    <phoneticPr fontId="1"/>
  </si>
  <si>
    <t>特例①</t>
    <rPh sb="0" eb="2">
      <t>トクレイ</t>
    </rPh>
    <phoneticPr fontId="1"/>
  </si>
  <si>
    <t>特例②</t>
    <rPh sb="0" eb="2">
      <t>トクレイ</t>
    </rPh>
    <phoneticPr fontId="1"/>
  </si>
  <si>
    <t>特例③</t>
    <rPh sb="0" eb="3">
      <t>トクレイ3</t>
    </rPh>
    <phoneticPr fontId="1"/>
  </si>
  <si>
    <t>特例</t>
    <rPh sb="0" eb="2">
      <t>トクレイ</t>
    </rPh>
    <phoneticPr fontId="1"/>
  </si>
  <si>
    <t>重複判定データ</t>
    <rPh sb="0" eb="4">
      <t>チョウフクハンテイ</t>
    </rPh>
    <phoneticPr fontId="1"/>
  </si>
  <si>
    <t>重複判定から除外する番号を重複判定データから引用する</t>
    <rPh sb="0" eb="2">
      <t>チョウフク</t>
    </rPh>
    <rPh sb="2" eb="4">
      <t>ハンテイ</t>
    </rPh>
    <rPh sb="6" eb="8">
      <t>ジョガイ</t>
    </rPh>
    <rPh sb="10" eb="12">
      <t>バンゴウ</t>
    </rPh>
    <rPh sb="13" eb="17">
      <t>チョウフクハンテイ</t>
    </rPh>
    <rPh sb="22" eb="24">
      <t>インヨウ</t>
    </rPh>
    <phoneticPr fontId="1"/>
  </si>
  <si>
    <t>個票の申請状況引用</t>
    <rPh sb="0" eb="2">
      <t>コヒョウ</t>
    </rPh>
    <rPh sb="3" eb="5">
      <t>シンセイ</t>
    </rPh>
    <rPh sb="5" eb="7">
      <t>ジョウキョウ</t>
    </rPh>
    <rPh sb="7" eb="9">
      <t>インヨウ</t>
    </rPh>
    <phoneticPr fontId="1"/>
  </si>
  <si>
    <t>その他条件（判定に使用）</t>
    <rPh sb="2" eb="5">
      <t>タジョウケン</t>
    </rPh>
    <rPh sb="6" eb="8">
      <t>ハンテイ</t>
    </rPh>
    <rPh sb="9" eb="11">
      <t>シヨウ</t>
    </rPh>
    <phoneticPr fontId="1"/>
  </si>
  <si>
    <t>担当者のドロップダウンに使用。右の「リスト登録」で登録した名前を引用</t>
    <rPh sb="0" eb="3">
      <t>タントウシャ</t>
    </rPh>
    <rPh sb="12" eb="14">
      <t>シヨウ</t>
    </rPh>
    <rPh sb="15" eb="16">
      <t>ミギ</t>
    </rPh>
    <rPh sb="21" eb="23">
      <t>トウロク</t>
    </rPh>
    <rPh sb="25" eb="27">
      <t>トウロク</t>
    </rPh>
    <rPh sb="29" eb="31">
      <t>ナマエ</t>
    </rPh>
    <rPh sb="32" eb="34">
      <t>インヨウ</t>
    </rPh>
    <phoneticPr fontId="1"/>
  </si>
  <si>
    <t>兼務職員や補助金担当時間を調整する際に使用。項目には職種名、人/月には調整する常勤換算数を引用</t>
    <rPh sb="0" eb="4">
      <t>ケンムショクイン</t>
    </rPh>
    <rPh sb="5" eb="8">
      <t>ホジョキン</t>
    </rPh>
    <rPh sb="8" eb="10">
      <t>タントウ</t>
    </rPh>
    <rPh sb="10" eb="12">
      <t>ジカン</t>
    </rPh>
    <rPh sb="13" eb="15">
      <t>チョウセイ</t>
    </rPh>
    <rPh sb="17" eb="18">
      <t>サイ</t>
    </rPh>
    <rPh sb="19" eb="21">
      <t>シヨウ</t>
    </rPh>
    <rPh sb="22" eb="24">
      <t>コウモク</t>
    </rPh>
    <rPh sb="26" eb="29">
      <t>ショクシュメイ</t>
    </rPh>
    <rPh sb="30" eb="31">
      <t>ジン</t>
    </rPh>
    <rPh sb="32" eb="33">
      <t>ツキ</t>
    </rPh>
    <rPh sb="35" eb="37">
      <t>チョウセイ</t>
    </rPh>
    <rPh sb="39" eb="44">
      <t>ジョウキンカンサンスウ</t>
    </rPh>
    <rPh sb="45" eb="47">
      <t>インヨウ</t>
    </rPh>
    <phoneticPr fontId="1"/>
  </si>
  <si>
    <t>説明</t>
    <rPh sb="0" eb="2">
      <t>セツメイ</t>
    </rPh>
    <phoneticPr fontId="1"/>
  </si>
  <si>
    <t>１　赤字及び二重線囲部分を各加算に応じて更新すること</t>
    <rPh sb="2" eb="4">
      <t>アカジ</t>
    </rPh>
    <rPh sb="4" eb="5">
      <t>オヨ</t>
    </rPh>
    <rPh sb="6" eb="9">
      <t>ニジュウセン</t>
    </rPh>
    <rPh sb="9" eb="10">
      <t>カコ</t>
    </rPh>
    <rPh sb="10" eb="12">
      <t>ブブン</t>
    </rPh>
    <rPh sb="13" eb="16">
      <t>カクカサン</t>
    </rPh>
    <rPh sb="17" eb="18">
      <t>オウ</t>
    </rPh>
    <rPh sb="20" eb="22">
      <t>コウシン</t>
    </rPh>
    <phoneticPr fontId="1"/>
  </si>
  <si>
    <t>２　「-」は対象外のため数式未入力箇所</t>
    <rPh sb="6" eb="9">
      <t>タイショウガイ</t>
    </rPh>
    <rPh sb="12" eb="19">
      <t>スウシキミニュウリョクカショ</t>
    </rPh>
    <phoneticPr fontId="1"/>
  </si>
  <si>
    <t>↑パターンごとに手入力</t>
    <rPh sb="8" eb="11">
      <t>テニュウリョク</t>
    </rPh>
    <phoneticPr fontId="1"/>
  </si>
  <si>
    <t>↑対象判定数式を加算ごとに入力（左の個票を使用すると良い）</t>
    <rPh sb="1" eb="5">
      <t>タイショウハンテイ</t>
    </rPh>
    <rPh sb="5" eb="7">
      <t>スウシキ</t>
    </rPh>
    <rPh sb="8" eb="10">
      <t>カサン</t>
    </rPh>
    <rPh sb="13" eb="15">
      <t>ニュウリョク</t>
    </rPh>
    <rPh sb="16" eb="17">
      <t>ヒダリ</t>
    </rPh>
    <rPh sb="18" eb="20">
      <t>コヒョウ</t>
    </rPh>
    <rPh sb="21" eb="23">
      <t>シヨウ</t>
    </rPh>
    <rPh sb="26" eb="27">
      <t>ヨ</t>
    </rPh>
    <phoneticPr fontId="1"/>
  </si>
  <si>
    <r>
      <t>リスト登録</t>
    </r>
    <r>
      <rPr>
        <sz val="10"/>
        <color theme="1"/>
        <rFont val="ＭＳ 明朝"/>
        <family val="1"/>
        <charset val="128"/>
      </rPr>
      <t>(数式＞定義された名前＞選択範囲から作成＞上端　で二重線囲部分を名前登録する➡ドロップダウンの範囲登録に使用)</t>
    </r>
    <rPh sb="3" eb="5">
      <t>トウロク</t>
    </rPh>
    <rPh sb="6" eb="8">
      <t>スウシキ</t>
    </rPh>
    <rPh sb="9" eb="11">
      <t>テイギ</t>
    </rPh>
    <rPh sb="14" eb="16">
      <t>ナマエ</t>
    </rPh>
    <rPh sb="17" eb="19">
      <t>センタク</t>
    </rPh>
    <rPh sb="19" eb="21">
      <t>ハンイ</t>
    </rPh>
    <rPh sb="23" eb="25">
      <t>サクセイ</t>
    </rPh>
    <rPh sb="26" eb="28">
      <t>ジョウタン</t>
    </rPh>
    <rPh sb="30" eb="33">
      <t>ニジュウセン</t>
    </rPh>
    <rPh sb="33" eb="34">
      <t>カコ</t>
    </rPh>
    <rPh sb="34" eb="36">
      <t>ブブン</t>
    </rPh>
    <rPh sb="37" eb="41">
      <t>ナマエトウロク</t>
    </rPh>
    <rPh sb="52" eb="54">
      <t>ハンイ</t>
    </rPh>
    <rPh sb="54" eb="56">
      <t>トウロク</t>
    </rPh>
    <rPh sb="57" eb="59">
      <t>シヨウ</t>
    </rPh>
    <phoneticPr fontId="1"/>
  </si>
  <si>
    <t>判定</t>
    <rPh sb="0" eb="2">
      <t>ハンテイ</t>
    </rPh>
    <phoneticPr fontId="1"/>
  </si>
  <si>
    <t>↑(数式＞定義された名前＞選択範囲から作成＞上端　で二重線囲部分を名前登録する➡ドロップダウンの範囲登録に使用)</t>
    <phoneticPr fontId="1"/>
  </si>
  <si>
    <t>リスト（状況に応じて更新）</t>
    <rPh sb="4" eb="6">
      <t>ジョウキョウ</t>
    </rPh>
    <rPh sb="7" eb="8">
      <t>オウ</t>
    </rPh>
    <rPh sb="10" eb="12">
      <t>コウシン</t>
    </rPh>
    <phoneticPr fontId="1"/>
  </si>
  <si>
    <t>主幹</t>
    <rPh sb="0" eb="2">
      <t>シュカン</t>
    </rPh>
    <phoneticPr fontId="1"/>
  </si>
  <si>
    <t>主幹代替</t>
    <rPh sb="0" eb="4">
      <t>シュカンダイタイ</t>
    </rPh>
    <phoneticPr fontId="1"/>
  </si>
  <si>
    <t>全職種</t>
    <rPh sb="0" eb="3">
      <t>ゼンショクシュ</t>
    </rPh>
    <phoneticPr fontId="1"/>
  </si>
  <si>
    <t>副園長/教頭</t>
    <rPh sb="0" eb="3">
      <t>フクエンチョウ</t>
    </rPh>
    <rPh sb="4" eb="6">
      <t>キョウトウ</t>
    </rPh>
    <phoneticPr fontId="1"/>
  </si>
  <si>
    <t>-</t>
    <phoneticPr fontId="1"/>
  </si>
  <si>
    <t>↓申請人数</t>
    <rPh sb="1" eb="3">
      <t>シンセイ</t>
    </rPh>
    <rPh sb="3" eb="5">
      <t>ニンズウ</t>
    </rPh>
    <phoneticPr fontId="1"/>
  </si>
  <si>
    <t>教諭
補助者</t>
    <rPh sb="0" eb="2">
      <t>キョウユ</t>
    </rPh>
    <rPh sb="3" eb="6">
      <t>ホジョシャ</t>
    </rPh>
    <phoneticPr fontId="1"/>
  </si>
  <si>
    <t>-</t>
    <phoneticPr fontId="1"/>
  </si>
  <si>
    <t>-</t>
    <phoneticPr fontId="1"/>
  </si>
  <si>
    <t>振替休日（元日）</t>
    <rPh sb="0" eb="2">
      <t>フリカエ</t>
    </rPh>
    <rPh sb="2" eb="4">
      <t>キュウジツ</t>
    </rPh>
    <rPh sb="5" eb="7">
      <t>ガンジツ</t>
    </rPh>
    <phoneticPr fontId="1"/>
  </si>
  <si>
    <t>振替休日（建国記念の日）</t>
    <rPh sb="0" eb="4">
      <t>フリカエキュウジツ</t>
    </rPh>
    <rPh sb="5" eb="9">
      <t>ケンコクキネン</t>
    </rPh>
    <rPh sb="10" eb="11">
      <t>ヒ</t>
    </rPh>
    <phoneticPr fontId="1"/>
  </si>
  <si>
    <t>振替休日（天皇誕生日）</t>
    <rPh sb="0" eb="4">
      <t>フリカエキュウジツ</t>
    </rPh>
    <rPh sb="5" eb="10">
      <t>テンノウタンジョウビ</t>
    </rPh>
    <phoneticPr fontId="1"/>
  </si>
  <si>
    <t>振替休日（こどもの日）</t>
    <rPh sb="0" eb="4">
      <t>フリカエキュウジツ</t>
    </rPh>
    <rPh sb="9" eb="10">
      <t>ヒ</t>
    </rPh>
    <phoneticPr fontId="1"/>
  </si>
  <si>
    <t>振替休日（みどりの日）</t>
    <rPh sb="0" eb="4">
      <t>フリカエキュウジツ</t>
    </rPh>
    <rPh sb="9" eb="10">
      <t>ヒ</t>
    </rPh>
    <phoneticPr fontId="1"/>
  </si>
  <si>
    <t>海の日</t>
    <rPh sb="0" eb="1">
      <t>ウミ</t>
    </rPh>
    <rPh sb="2" eb="3">
      <t>ヒ</t>
    </rPh>
    <phoneticPr fontId="1"/>
  </si>
  <si>
    <t>山の日</t>
    <rPh sb="0" eb="1">
      <t>ヤマ</t>
    </rPh>
    <rPh sb="2" eb="3">
      <t>ヒ</t>
    </rPh>
    <phoneticPr fontId="1"/>
  </si>
  <si>
    <t>振替休日（山の日）</t>
    <rPh sb="0" eb="4">
      <t>フリカエキュウジツ</t>
    </rPh>
    <rPh sb="5" eb="6">
      <t>ヤマ</t>
    </rPh>
    <rPh sb="7" eb="8">
      <t>ヒ</t>
    </rPh>
    <phoneticPr fontId="1"/>
  </si>
  <si>
    <t>秋分の日</t>
    <rPh sb="0" eb="2">
      <t>シュウブン</t>
    </rPh>
    <rPh sb="3" eb="4">
      <t>ヒ</t>
    </rPh>
    <phoneticPr fontId="1"/>
  </si>
  <si>
    <t>振替休日（秋分の日）</t>
    <rPh sb="0" eb="4">
      <t>フリカエキュウジツ</t>
    </rPh>
    <rPh sb="5" eb="7">
      <t>シュウブン</t>
    </rPh>
    <rPh sb="8" eb="9">
      <t>ヒ</t>
    </rPh>
    <phoneticPr fontId="1"/>
  </si>
  <si>
    <t>スポーツの日</t>
    <rPh sb="5" eb="6">
      <t>ヒ</t>
    </rPh>
    <phoneticPr fontId="1"/>
  </si>
  <si>
    <t>文化の日</t>
    <rPh sb="0" eb="2">
      <t>ブンカ</t>
    </rPh>
    <rPh sb="3" eb="4">
      <t>ヒ</t>
    </rPh>
    <phoneticPr fontId="1"/>
  </si>
  <si>
    <t>振替休日（勤労感謝の日）</t>
    <rPh sb="0" eb="4">
      <t>フリカエキュウジツ</t>
    </rPh>
    <rPh sb="5" eb="9">
      <t>キンロウカンシャ</t>
    </rPh>
    <rPh sb="10" eb="11">
      <t>ヒ</t>
    </rPh>
    <phoneticPr fontId="1"/>
  </si>
  <si>
    <t>振替休日（文化の日）</t>
    <rPh sb="0" eb="10">
      <t>フリカエキュウジツ</t>
    </rPh>
    <phoneticPr fontId="1"/>
  </si>
  <si>
    <t>勤労感謝の日</t>
    <rPh sb="0" eb="4">
      <t>キンロウカンシャ</t>
    </rPh>
    <rPh sb="5" eb="6">
      <t>ヒ</t>
    </rPh>
    <phoneticPr fontId="1"/>
  </si>
  <si>
    <t>1号</t>
    <rPh sb="1" eb="2">
      <t>ゴウ</t>
    </rPh>
    <phoneticPr fontId="1"/>
  </si>
  <si>
    <t>本園</t>
    <rPh sb="0" eb="2">
      <t>ホンエン</t>
    </rPh>
    <phoneticPr fontId="1"/>
  </si>
  <si>
    <t>5歳児</t>
    <rPh sb="1" eb="2">
      <t>サイ</t>
    </rPh>
    <rPh sb="2" eb="3">
      <t>ジ</t>
    </rPh>
    <phoneticPr fontId="1"/>
  </si>
  <si>
    <t>4歳児</t>
    <rPh sb="1" eb="2">
      <t>サイ</t>
    </rPh>
    <rPh sb="2" eb="3">
      <t>ジ</t>
    </rPh>
    <phoneticPr fontId="1"/>
  </si>
  <si>
    <t>3歳児</t>
    <rPh sb="1" eb="3">
      <t>サイジ</t>
    </rPh>
    <phoneticPr fontId="1"/>
  </si>
  <si>
    <t>満3歳児</t>
    <rPh sb="0" eb="1">
      <t>マン</t>
    </rPh>
    <rPh sb="2" eb="4">
      <t>サイジ</t>
    </rPh>
    <phoneticPr fontId="1"/>
  </si>
  <si>
    <t>一時預かり事業補助金</t>
    <rPh sb="0" eb="3">
      <t>イチジアズ</t>
    </rPh>
    <rPh sb="5" eb="7">
      <t>ジギョウ</t>
    </rPh>
    <rPh sb="7" eb="10">
      <t>ホジョキン</t>
    </rPh>
    <phoneticPr fontId="1"/>
  </si>
  <si>
    <t>副園長・教頭</t>
    <rPh sb="0" eb="3">
      <t>フクエンチョウ</t>
    </rPh>
    <rPh sb="4" eb="6">
      <t>キョウトウ</t>
    </rPh>
    <phoneticPr fontId="1"/>
  </si>
  <si>
    <t>下限時間②→</t>
    <rPh sb="0" eb="2">
      <t>カゲン</t>
    </rPh>
    <rPh sb="2" eb="4">
      <t>ジカン</t>
    </rPh>
    <phoneticPr fontId="1"/>
  </si>
  <si>
    <t>下限時間①→</t>
    <rPh sb="0" eb="2">
      <t>カゲン</t>
    </rPh>
    <rPh sb="2" eb="4">
      <t>ジカン</t>
    </rPh>
    <phoneticPr fontId="1"/>
  </si>
  <si>
    <t>下限調整あり②</t>
    <rPh sb="0" eb="4">
      <t>カゲンチョウセイ</t>
    </rPh>
    <phoneticPr fontId="1"/>
  </si>
  <si>
    <t>下限調整あり①</t>
    <rPh sb="0" eb="4">
      <t>カゲンチョウセイ</t>
    </rPh>
    <phoneticPr fontId="1"/>
  </si>
  <si>
    <t>教育補助者</t>
    <rPh sb="0" eb="2">
      <t>キョウイク</t>
    </rPh>
    <rPh sb="2" eb="5">
      <t>ホジョシャ</t>
    </rPh>
    <phoneticPr fontId="1"/>
  </si>
  <si>
    <t>　・　委託は「教諭（発令有）」のみ常勤換算数に含まれて計算されます。</t>
    <rPh sb="3" eb="5">
      <t>イタク</t>
    </rPh>
    <rPh sb="7" eb="9">
      <t>キョウユ</t>
    </rPh>
    <rPh sb="10" eb="13">
      <t>ハツレイアリ</t>
    </rPh>
    <rPh sb="17" eb="22">
      <t>ジョウキンカンサンスウ</t>
    </rPh>
    <rPh sb="23" eb="24">
      <t>フク</t>
    </rPh>
    <rPh sb="27" eb="29">
      <t>ケイサン</t>
    </rPh>
    <phoneticPr fontId="1"/>
  </si>
  <si>
    <t>チーム保育加配加算</t>
    <rPh sb="3" eb="5">
      <t>ホイク</t>
    </rPh>
    <rPh sb="5" eb="9">
      <t>カハイカサン</t>
    </rPh>
    <phoneticPr fontId="1"/>
  </si>
  <si>
    <t>対象職員分計上（教育補助者除く）</t>
    <rPh sb="0" eb="4">
      <t>タイショウショクイン</t>
    </rPh>
    <rPh sb="4" eb="5">
      <t>ブン</t>
    </rPh>
    <rPh sb="5" eb="7">
      <t>ケイジョウ</t>
    </rPh>
    <rPh sb="8" eb="14">
      <t>キョウイクホジョシャノゾ</t>
    </rPh>
    <phoneticPr fontId="1"/>
  </si>
  <si>
    <t>(1) ア＋イ-ウ</t>
    <phoneticPr fontId="1"/>
  </si>
  <si>
    <t>チーム保育加配加算を除外した必要数…ウ</t>
    <rPh sb="3" eb="5">
      <t>ホイク</t>
    </rPh>
    <rPh sb="5" eb="9">
      <t>カハイカサン</t>
    </rPh>
    <rPh sb="10" eb="12">
      <t>ジョガイ</t>
    </rPh>
    <rPh sb="14" eb="17">
      <t>ヒツヨウスウ</t>
    </rPh>
    <phoneticPr fontId="1"/>
  </si>
  <si>
    <t>-</t>
    <phoneticPr fontId="1"/>
  </si>
  <si>
    <t>-</t>
    <phoneticPr fontId="1"/>
  </si>
  <si>
    <t>-</t>
    <phoneticPr fontId="1"/>
  </si>
  <si>
    <t>主幹教諭等及びその代替教諭を配置し、職員配置を充足している（様式5）</t>
    <rPh sb="0" eb="2">
      <t>シュカン</t>
    </rPh>
    <rPh sb="2" eb="4">
      <t>キョウユ</t>
    </rPh>
    <rPh sb="4" eb="5">
      <t>トウ</t>
    </rPh>
    <rPh sb="5" eb="6">
      <t>オヨ</t>
    </rPh>
    <rPh sb="9" eb="11">
      <t>ダイタイ</t>
    </rPh>
    <rPh sb="11" eb="13">
      <t>キョウユ</t>
    </rPh>
    <rPh sb="14" eb="16">
      <t>ハイチ</t>
    </rPh>
    <rPh sb="18" eb="22">
      <t>ショクインハイチ</t>
    </rPh>
    <rPh sb="23" eb="25">
      <t>ジュウソク</t>
    </rPh>
    <rPh sb="30" eb="32">
      <t>ヨウシキ</t>
    </rPh>
    <phoneticPr fontId="1"/>
  </si>
  <si>
    <t>以下の(1)～(5)のいずれかが施設で実施されていることが分かる書面又はホームページの写し。園の掲示物の場合は掲示状況等がわかる説明文書及び写真を添付すること。
(1)　子育てサロン、子育て広場等の交流の場の提供
  年度内に実施が予定されている場合は、年度当初から実施されているものとみなす
(2)　子育て等に関する相談・援助
　園外の児童等も受け付けていることが明示されていること。また、加算対象月初日から受付けていることが明示されていること
(3)　地域の子育て関連情報の提供
　園内及び園外向けの季刊誌等の発行を想定し、年に複数回発行を予定している場合は、年度当初から実施されているものとみなす。なお、園内向けの園だより等は不可
(4)　子育て及び子育て支援に関する講習等
　年度内に実施が予定されている場合は、年度当初から実施されているものとみなす
(5)　その他地域子育て支援活動と認められるもの
　事前に個別相談し認められた事業等。</t>
    <phoneticPr fontId="1"/>
  </si>
  <si>
    <t>幼</t>
    <rPh sb="0" eb="1">
      <t>ヨウ</t>
    </rPh>
    <phoneticPr fontId="1"/>
  </si>
  <si>
    <t>めばえ幼稚園</t>
    <rPh sb="3" eb="6">
      <t>ヨウチエン</t>
    </rPh>
    <phoneticPr fontId="1"/>
  </si>
  <si>
    <t>札幌円山幼稚園</t>
    <rPh sb="0" eb="2">
      <t>サッポロ</t>
    </rPh>
    <rPh sb="2" eb="4">
      <t>マルヤマ</t>
    </rPh>
    <rPh sb="4" eb="7">
      <t>ヨウチエン</t>
    </rPh>
    <phoneticPr fontId="1"/>
  </si>
  <si>
    <t>ひかり幼稚園</t>
    <rPh sb="3" eb="6">
      <t>ヨウチエン</t>
    </rPh>
    <phoneticPr fontId="3"/>
  </si>
  <si>
    <t>札幌いづみ幼稚園</t>
    <rPh sb="0" eb="2">
      <t>サッポロ</t>
    </rPh>
    <rPh sb="5" eb="8">
      <t>ヨウチエン</t>
    </rPh>
    <phoneticPr fontId="5"/>
  </si>
  <si>
    <t>宮の森幼稚園</t>
    <rPh sb="0" eb="1">
      <t>ミヤ</t>
    </rPh>
    <rPh sb="2" eb="6">
      <t>モリヨウチエン</t>
    </rPh>
    <phoneticPr fontId="1"/>
  </si>
  <si>
    <t>新琴似育英幼稚園</t>
    <rPh sb="0" eb="3">
      <t>シンコトニ</t>
    </rPh>
    <rPh sb="3" eb="5">
      <t>イクエイ</t>
    </rPh>
    <rPh sb="5" eb="8">
      <t>ヨウチエン</t>
    </rPh>
    <phoneticPr fontId="1"/>
  </si>
  <si>
    <t>札幌三育幼稚園</t>
    <rPh sb="0" eb="2">
      <t>サッポロ</t>
    </rPh>
    <rPh sb="2" eb="3">
      <t>サン</t>
    </rPh>
    <rPh sb="3" eb="4">
      <t>イク</t>
    </rPh>
    <rPh sb="4" eb="7">
      <t>ヨウチエン</t>
    </rPh>
    <phoneticPr fontId="1"/>
  </si>
  <si>
    <t>天使幼稚園</t>
    <rPh sb="0" eb="2">
      <t>テンシ</t>
    </rPh>
    <rPh sb="2" eb="5">
      <t>ヨウチエン</t>
    </rPh>
    <phoneticPr fontId="1"/>
  </si>
  <si>
    <t>あゆみ幼稚園</t>
    <rPh sb="3" eb="6">
      <t>ヨウチエン</t>
    </rPh>
    <phoneticPr fontId="1"/>
  </si>
  <si>
    <t>あゆみ第二幼稚園</t>
    <rPh sb="3" eb="4">
      <t>ダイ</t>
    </rPh>
    <rPh sb="4" eb="5">
      <t>２</t>
    </rPh>
    <rPh sb="5" eb="8">
      <t>ヨウチエン</t>
    </rPh>
    <phoneticPr fontId="1"/>
  </si>
  <si>
    <t>札幌大谷大学附属幼稚園</t>
    <rPh sb="0" eb="2">
      <t>サッポロ</t>
    </rPh>
    <rPh sb="4" eb="6">
      <t>ダイガク</t>
    </rPh>
    <rPh sb="6" eb="8">
      <t>フゾク</t>
    </rPh>
    <rPh sb="8" eb="11">
      <t>ヨウチエン</t>
    </rPh>
    <phoneticPr fontId="1"/>
  </si>
  <si>
    <t>札幌幼稚園</t>
    <rPh sb="0" eb="2">
      <t>サッポロ</t>
    </rPh>
    <rPh sb="2" eb="5">
      <t>ヨウチエン</t>
    </rPh>
    <phoneticPr fontId="1"/>
  </si>
  <si>
    <t>しろいし幼稚園</t>
    <rPh sb="4" eb="7">
      <t>ヨウチエン</t>
    </rPh>
    <phoneticPr fontId="1"/>
  </si>
  <si>
    <t>本郷幼稚園</t>
    <rPh sb="0" eb="2">
      <t>ホンゴウ</t>
    </rPh>
    <rPh sb="2" eb="5">
      <t>ヨウチエン</t>
    </rPh>
    <phoneticPr fontId="3"/>
  </si>
  <si>
    <t>厚別幼稚園</t>
    <rPh sb="0" eb="2">
      <t>アツベツ</t>
    </rPh>
    <rPh sb="2" eb="5">
      <t>ヨウチエン</t>
    </rPh>
    <phoneticPr fontId="1"/>
  </si>
  <si>
    <t>西岡ふたば幼稚園</t>
    <rPh sb="0" eb="2">
      <t>ニシオカ</t>
    </rPh>
    <rPh sb="5" eb="8">
      <t>ヨウチエン</t>
    </rPh>
    <phoneticPr fontId="1"/>
  </si>
  <si>
    <t>ふくずみ幼稚園</t>
    <rPh sb="4" eb="7">
      <t>ヨウチエン</t>
    </rPh>
    <phoneticPr fontId="1"/>
  </si>
  <si>
    <t>つきさむ幼稚園</t>
    <rPh sb="4" eb="7">
      <t>ヨウチエン</t>
    </rPh>
    <phoneticPr fontId="1"/>
  </si>
  <si>
    <t>清田幼稚園</t>
    <rPh sb="2" eb="5">
      <t>ヨウチエン</t>
    </rPh>
    <phoneticPr fontId="1"/>
  </si>
  <si>
    <t>森の幼稚園</t>
    <rPh sb="0" eb="1">
      <t>モリ</t>
    </rPh>
    <rPh sb="2" eb="5">
      <t>ヨウチエン</t>
    </rPh>
    <phoneticPr fontId="1"/>
  </si>
  <si>
    <t>真駒内幼稚園</t>
    <rPh sb="0" eb="3">
      <t>マコマナイ</t>
    </rPh>
    <rPh sb="3" eb="6">
      <t>ヨウチエン</t>
    </rPh>
    <phoneticPr fontId="1"/>
  </si>
  <si>
    <t>藤ヶ丘幼稚園</t>
    <rPh sb="3" eb="6">
      <t>ヨウチエン</t>
    </rPh>
    <phoneticPr fontId="1"/>
  </si>
  <si>
    <t>札幌わかくさ幼稚園</t>
    <rPh sb="0" eb="2">
      <t>サッポロ</t>
    </rPh>
    <rPh sb="6" eb="9">
      <t>ヨウチエン</t>
    </rPh>
    <phoneticPr fontId="1"/>
  </si>
  <si>
    <t>もなみ幼稚園</t>
    <rPh sb="3" eb="6">
      <t>ヨウチエン</t>
    </rPh>
    <phoneticPr fontId="1"/>
  </si>
  <si>
    <t>第２もなみ幼稚園</t>
    <rPh sb="0" eb="1">
      <t>ダイ</t>
    </rPh>
    <rPh sb="5" eb="8">
      <t>ヨウチエン</t>
    </rPh>
    <phoneticPr fontId="1"/>
  </si>
  <si>
    <t>あづま幼稚園</t>
    <rPh sb="3" eb="6">
      <t>ヨウチエン</t>
    </rPh>
    <phoneticPr fontId="1"/>
  </si>
  <si>
    <t>別紙４</t>
    <rPh sb="0" eb="2">
      <t>ベッシ</t>
    </rPh>
    <phoneticPr fontId="1"/>
  </si>
  <si>
    <t>(3)　別紙1～7：必要に応じて入力</t>
    <rPh sb="4" eb="6">
      <t>ベッシ</t>
    </rPh>
    <rPh sb="10" eb="12">
      <t>ヒツヨウ</t>
    </rPh>
    <rPh sb="13" eb="14">
      <t>オウ</t>
    </rPh>
    <rPh sb="16" eb="18">
      <t>ニュウリョク</t>
    </rPh>
    <phoneticPr fontId="1"/>
  </si>
  <si>
    <t>(7)　様式5：初日児童数、基本配置・加算・補助金対象職員選択</t>
    <rPh sb="4" eb="6">
      <t>ヨウシキ</t>
    </rPh>
    <rPh sb="8" eb="10">
      <t>ショニチ</t>
    </rPh>
    <rPh sb="10" eb="12">
      <t>ジドウ</t>
    </rPh>
    <rPh sb="12" eb="13">
      <t>スウ</t>
    </rPh>
    <rPh sb="14" eb="16">
      <t>キホン</t>
    </rPh>
    <rPh sb="16" eb="18">
      <t>ハイチ</t>
    </rPh>
    <rPh sb="19" eb="21">
      <t>カサン</t>
    </rPh>
    <rPh sb="22" eb="25">
      <t>ホジョキン</t>
    </rPh>
    <rPh sb="25" eb="27">
      <t>タイショウ</t>
    </rPh>
    <rPh sb="27" eb="29">
      <t>ショクイン</t>
    </rPh>
    <rPh sb="29" eb="31">
      <t>センタク</t>
    </rPh>
    <phoneticPr fontId="1"/>
  </si>
  <si>
    <t>(8)　様式1：様式2～5入力後に選択できる箇所が一部あるため再度確認(チーム保育加配等)</t>
    <rPh sb="4" eb="6">
      <t>ヨウシキ</t>
    </rPh>
    <rPh sb="8" eb="10">
      <t>ヨウシキ</t>
    </rPh>
    <rPh sb="13" eb="15">
      <t>ニュウリョク</t>
    </rPh>
    <rPh sb="15" eb="16">
      <t>ゴ</t>
    </rPh>
    <rPh sb="17" eb="19">
      <t>センタク</t>
    </rPh>
    <rPh sb="22" eb="24">
      <t>カショ</t>
    </rPh>
    <rPh sb="25" eb="27">
      <t>イチブ</t>
    </rPh>
    <rPh sb="31" eb="33">
      <t>サイド</t>
    </rPh>
    <rPh sb="33" eb="35">
      <t>カクニン</t>
    </rPh>
    <rPh sb="39" eb="41">
      <t>ホイク</t>
    </rPh>
    <rPh sb="41" eb="43">
      <t>カハイ</t>
    </rPh>
    <rPh sb="43" eb="44">
      <t>トウ</t>
    </rPh>
    <phoneticPr fontId="1"/>
  </si>
  <si>
    <t>(0)　（前月分を作成済みの場合）ファイルをコピーして別名で保存</t>
    <rPh sb="5" eb="6">
      <t>ゼン</t>
    </rPh>
    <rPh sb="6" eb="7">
      <t>ツキ</t>
    </rPh>
    <rPh sb="7" eb="8">
      <t>ブン</t>
    </rPh>
    <rPh sb="9" eb="11">
      <t>サクセイ</t>
    </rPh>
    <rPh sb="11" eb="12">
      <t>ズ</t>
    </rPh>
    <rPh sb="14" eb="16">
      <t>バアイ</t>
    </rPh>
    <rPh sb="27" eb="29">
      <t>ベツメイ</t>
    </rPh>
    <rPh sb="30" eb="32">
      <t>ホゾン</t>
    </rPh>
    <phoneticPr fontId="1"/>
  </si>
  <si>
    <t>様式名</t>
    <rPh sb="0" eb="3">
      <t>ヨウシキメイ</t>
    </rPh>
    <phoneticPr fontId="1"/>
  </si>
  <si>
    <t>副食日</t>
    <rPh sb="0" eb="2">
      <t>フクショク</t>
    </rPh>
    <rPh sb="2" eb="3">
      <t>ビ</t>
    </rPh>
    <phoneticPr fontId="1"/>
  </si>
  <si>
    <t>年度</t>
    <rPh sb="0" eb="2">
      <t>ネンド</t>
    </rPh>
    <phoneticPr fontId="1"/>
  </si>
  <si>
    <r>
      <t>　・　給食日は、</t>
    </r>
    <r>
      <rPr>
        <b/>
        <u/>
        <sz val="10"/>
        <rFont val="ＭＳ 明朝"/>
        <family val="1"/>
        <charset val="128"/>
      </rPr>
      <t>通常教育児童に提供した日</t>
    </r>
    <r>
      <rPr>
        <sz val="10"/>
        <rFont val="ＭＳ 明朝"/>
        <family val="1"/>
        <charset val="128"/>
      </rPr>
      <t>とし、預かり保育や一時預かり、２・３号認定児童のみに給食を提供する日は含みません。</t>
    </r>
    <rPh sb="3" eb="5">
      <t>キュウショク</t>
    </rPh>
    <rPh sb="5" eb="6">
      <t>ビ</t>
    </rPh>
    <rPh sb="8" eb="12">
      <t>ツウジョウキョウイク</t>
    </rPh>
    <rPh sb="12" eb="14">
      <t>ジドウ</t>
    </rPh>
    <rPh sb="15" eb="17">
      <t>テイキョウ</t>
    </rPh>
    <rPh sb="19" eb="20">
      <t>ヒ</t>
    </rPh>
    <rPh sb="23" eb="24">
      <t>アズ</t>
    </rPh>
    <rPh sb="26" eb="28">
      <t>ホイク</t>
    </rPh>
    <rPh sb="29" eb="31">
      <t>イチジ</t>
    </rPh>
    <rPh sb="31" eb="32">
      <t>アズ</t>
    </rPh>
    <rPh sb="46" eb="48">
      <t>キュウショク</t>
    </rPh>
    <rPh sb="49" eb="51">
      <t>テイキョウ</t>
    </rPh>
    <rPh sb="53" eb="54">
      <t>ヒ</t>
    </rPh>
    <rPh sb="55" eb="56">
      <t>フク</t>
    </rPh>
    <phoneticPr fontId="1"/>
  </si>
  <si>
    <r>
      <t>　・　副食日は、</t>
    </r>
    <r>
      <rPr>
        <b/>
        <u/>
        <sz val="10"/>
        <rFont val="ＭＳ 明朝"/>
        <family val="1"/>
        <charset val="128"/>
      </rPr>
      <t>完全な副食を通常教育児童に提供した日</t>
    </r>
    <r>
      <rPr>
        <sz val="10"/>
        <rFont val="ＭＳ 明朝"/>
        <family val="1"/>
        <charset val="128"/>
      </rPr>
      <t>とし、預かり保育や一時預かり児童のみに副食を提供する日や一部の副食提供にとどまる日は含みません。</t>
    </r>
    <rPh sb="3" eb="5">
      <t>フクショク</t>
    </rPh>
    <rPh sb="5" eb="6">
      <t>ビ</t>
    </rPh>
    <rPh sb="8" eb="10">
      <t>カンゼン</t>
    </rPh>
    <rPh sb="11" eb="13">
      <t>フクショク</t>
    </rPh>
    <rPh sb="14" eb="20">
      <t>ツウジョウキョウイクジドウ</t>
    </rPh>
    <rPh sb="21" eb="23">
      <t>テイキョウ</t>
    </rPh>
    <rPh sb="25" eb="26">
      <t>ヒ</t>
    </rPh>
    <rPh sb="29" eb="30">
      <t>アズ</t>
    </rPh>
    <rPh sb="32" eb="34">
      <t>ホイク</t>
    </rPh>
    <rPh sb="35" eb="37">
      <t>イチジ</t>
    </rPh>
    <rPh sb="37" eb="38">
      <t>アズ</t>
    </rPh>
    <rPh sb="40" eb="42">
      <t>ジドウ</t>
    </rPh>
    <rPh sb="45" eb="47">
      <t>フクショク</t>
    </rPh>
    <rPh sb="48" eb="50">
      <t>テイキョウ</t>
    </rPh>
    <rPh sb="52" eb="53">
      <t>ヒ</t>
    </rPh>
    <rPh sb="54" eb="56">
      <t>イチブ</t>
    </rPh>
    <rPh sb="57" eb="59">
      <t>フクショク</t>
    </rPh>
    <rPh sb="59" eb="61">
      <t>テイキョウ</t>
    </rPh>
    <rPh sb="66" eb="67">
      <t>ヒ</t>
    </rPh>
    <rPh sb="68" eb="69">
      <t>フク</t>
    </rPh>
    <phoneticPr fontId="1"/>
  </si>
  <si>
    <t>特例</t>
    <rPh sb="0" eb="2">
      <t>トクレイ</t>
    </rPh>
    <phoneticPr fontId="1"/>
  </si>
  <si>
    <t>副食日数(計)：</t>
    <rPh sb="0" eb="2">
      <t>フクショク</t>
    </rPh>
    <rPh sb="2" eb="3">
      <t>ビ</t>
    </rPh>
    <rPh sb="3" eb="4">
      <t>スウ</t>
    </rPh>
    <rPh sb="5" eb="6">
      <t>ケイ</t>
    </rPh>
    <phoneticPr fontId="1"/>
  </si>
  <si>
    <t>別紙5</t>
    <rPh sb="0" eb="2">
      <t>ベッシ</t>
    </rPh>
    <phoneticPr fontId="1"/>
  </si>
  <si>
    <t>別紙５（「加算：給食実施加算及び副食費徴収免除加算（1号）」の添付書類）</t>
    <rPh sb="0" eb="2">
      <t>ベッシ</t>
    </rPh>
    <rPh sb="5" eb="7">
      <t>カサン</t>
    </rPh>
    <rPh sb="8" eb="10">
      <t>キュウショク</t>
    </rPh>
    <rPh sb="10" eb="12">
      <t>ジッシ</t>
    </rPh>
    <rPh sb="12" eb="14">
      <t>カサン</t>
    </rPh>
    <rPh sb="14" eb="15">
      <t>オヨ</t>
    </rPh>
    <rPh sb="16" eb="25">
      <t>フクショクヒチョウシュウメンジョカサン</t>
    </rPh>
    <rPh sb="27" eb="28">
      <t>ゴウ</t>
    </rPh>
    <rPh sb="31" eb="33">
      <t>テンプ</t>
    </rPh>
    <rPh sb="33" eb="35">
      <t>ショルイ</t>
    </rPh>
    <phoneticPr fontId="1"/>
  </si>
  <si>
    <t>月</t>
    <rPh sb="0" eb="1">
      <t>ツキ</t>
    </rPh>
    <phoneticPr fontId="1"/>
  </si>
  <si>
    <t>副食日</t>
    <rPh sb="0" eb="3">
      <t>フクショクビ</t>
    </rPh>
    <phoneticPr fontId="1"/>
  </si>
  <si>
    <t>①　１号(一時預かり児童除く)に係る副食を提供する日
②　副食の全てを提供する日（おやつや牛乳のみ等の日は除く）
③　弁当と給食のどちらかを保護者に選択させる日は含む。ただし、給食を希望した保護者全てに提供できる体制をとっている場合に限る。
④　20日/月を超えている場合は20日
⑤　土日祝日の給食日は除く</t>
    <rPh sb="3" eb="4">
      <t>ゴウ</t>
    </rPh>
    <rPh sb="5" eb="7">
      <t>イチジ</t>
    </rPh>
    <rPh sb="7" eb="8">
      <t>アズ</t>
    </rPh>
    <rPh sb="10" eb="12">
      <t>ジドウ</t>
    </rPh>
    <rPh sb="12" eb="13">
      <t>ノゾ</t>
    </rPh>
    <rPh sb="16" eb="17">
      <t>カカ</t>
    </rPh>
    <rPh sb="29" eb="31">
      <t>フクショク</t>
    </rPh>
    <rPh sb="32" eb="33">
      <t>スベ</t>
    </rPh>
    <rPh sb="35" eb="37">
      <t>テイキョウ</t>
    </rPh>
    <rPh sb="39" eb="40">
      <t>ヒ</t>
    </rPh>
    <rPh sb="45" eb="47">
      <t>ギュウニュウ</t>
    </rPh>
    <rPh sb="49" eb="50">
      <t>ナド</t>
    </rPh>
    <rPh sb="51" eb="52">
      <t>ヒ</t>
    </rPh>
    <rPh sb="53" eb="54">
      <t>ノゾ</t>
    </rPh>
    <rPh sb="59" eb="61">
      <t>ベントウ</t>
    </rPh>
    <rPh sb="62" eb="64">
      <t>キュウショク</t>
    </rPh>
    <rPh sb="70" eb="73">
      <t>ホゴシャ</t>
    </rPh>
    <rPh sb="74" eb="76">
      <t>センタク</t>
    </rPh>
    <rPh sb="79" eb="80">
      <t>ヒ</t>
    </rPh>
    <rPh sb="81" eb="82">
      <t>フク</t>
    </rPh>
    <rPh sb="88" eb="90">
      <t>キュウショク</t>
    </rPh>
    <rPh sb="91" eb="93">
      <t>キボウ</t>
    </rPh>
    <rPh sb="95" eb="98">
      <t>ホゴシャ</t>
    </rPh>
    <rPh sb="98" eb="99">
      <t>スベ</t>
    </rPh>
    <rPh sb="101" eb="103">
      <t>テイキョウ</t>
    </rPh>
    <rPh sb="106" eb="108">
      <t>タイセイ</t>
    </rPh>
    <rPh sb="114" eb="116">
      <t>バアイ</t>
    </rPh>
    <rPh sb="117" eb="118">
      <t>カギ</t>
    </rPh>
    <rPh sb="125" eb="126">
      <t>ニチ</t>
    </rPh>
    <rPh sb="127" eb="128">
      <t>ツキ</t>
    </rPh>
    <rPh sb="129" eb="130">
      <t>コ</t>
    </rPh>
    <rPh sb="134" eb="136">
      <t>バアイ</t>
    </rPh>
    <rPh sb="139" eb="140">
      <t>ニチ</t>
    </rPh>
    <rPh sb="143" eb="145">
      <t>ドニチ</t>
    </rPh>
    <rPh sb="145" eb="146">
      <t>シュク</t>
    </rPh>
    <rPh sb="146" eb="147">
      <t>ジツ</t>
    </rPh>
    <rPh sb="148" eb="150">
      <t>キュウショク</t>
    </rPh>
    <rPh sb="150" eb="151">
      <t>ビ</t>
    </rPh>
    <rPh sb="152" eb="153">
      <t>ノゾ</t>
    </rPh>
    <phoneticPr fontId="1"/>
  </si>
  <si>
    <t>特例※1の適用の有無</t>
    <rPh sb="0" eb="2">
      <t>トクレイ</t>
    </rPh>
    <rPh sb="5" eb="7">
      <t>テキヨウ</t>
    </rPh>
    <rPh sb="8" eb="10">
      <t>ウム</t>
    </rPh>
    <phoneticPr fontId="1"/>
  </si>
  <si>
    <t>※1　特例とは新型コロナの影響で休園・家庭保育実施となり給食・副食の提供予定に影響がある場合を指し、その際は例年の給食提供状況を参考に副食日を入力すること</t>
    <rPh sb="3" eb="5">
      <t>トクレイ</t>
    </rPh>
    <rPh sb="7" eb="9">
      <t>シンガタ</t>
    </rPh>
    <rPh sb="13" eb="15">
      <t>エイキョウ</t>
    </rPh>
    <rPh sb="16" eb="17">
      <t>キュウ</t>
    </rPh>
    <rPh sb="17" eb="18">
      <t>エン</t>
    </rPh>
    <rPh sb="19" eb="21">
      <t>カテイ</t>
    </rPh>
    <rPh sb="21" eb="23">
      <t>ホイク</t>
    </rPh>
    <rPh sb="23" eb="25">
      <t>ジッシ</t>
    </rPh>
    <rPh sb="28" eb="30">
      <t>キュウショク</t>
    </rPh>
    <rPh sb="31" eb="33">
      <t>フクショク</t>
    </rPh>
    <rPh sb="34" eb="36">
      <t>テイキョウ</t>
    </rPh>
    <rPh sb="36" eb="38">
      <t>ヨテイ</t>
    </rPh>
    <rPh sb="39" eb="41">
      <t>エイキョウ</t>
    </rPh>
    <rPh sb="44" eb="46">
      <t>バアイ</t>
    </rPh>
    <rPh sb="47" eb="48">
      <t>サ</t>
    </rPh>
    <rPh sb="52" eb="53">
      <t>サイ</t>
    </rPh>
    <rPh sb="54" eb="56">
      <t>レイネン</t>
    </rPh>
    <rPh sb="57" eb="59">
      <t>キュウショク</t>
    </rPh>
    <rPh sb="59" eb="61">
      <t>テイキョウ</t>
    </rPh>
    <rPh sb="61" eb="63">
      <t>ジョウキョウ</t>
    </rPh>
    <rPh sb="64" eb="66">
      <t>サンコウ</t>
    </rPh>
    <rPh sb="67" eb="69">
      <t>フクショク</t>
    </rPh>
    <rPh sb="69" eb="70">
      <t>ビ</t>
    </rPh>
    <rPh sb="71" eb="73">
      <t>ニュウリョク</t>
    </rPh>
    <phoneticPr fontId="1"/>
  </si>
  <si>
    <t>④　同一又は系列法人内で複数施設を運営している場合は、別紙1-2を作成すること。別紙とすることも可能だが、その場合は本務・兼務の有無を別途記載すること。</t>
    <rPh sb="2" eb="4">
      <t>ドウイツ</t>
    </rPh>
    <rPh sb="4" eb="5">
      <t>マタ</t>
    </rPh>
    <rPh sb="6" eb="8">
      <t>ケイレツ</t>
    </rPh>
    <rPh sb="8" eb="10">
      <t>ホウジン</t>
    </rPh>
    <rPh sb="10" eb="11">
      <t>ナイ</t>
    </rPh>
    <rPh sb="12" eb="14">
      <t>フクスウ</t>
    </rPh>
    <rPh sb="14" eb="16">
      <t>シセツ</t>
    </rPh>
    <rPh sb="17" eb="19">
      <t>ウンエイ</t>
    </rPh>
    <rPh sb="23" eb="25">
      <t>バアイ</t>
    </rPh>
    <rPh sb="27" eb="29">
      <t>ベッシ</t>
    </rPh>
    <rPh sb="33" eb="35">
      <t>サクセイ</t>
    </rPh>
    <rPh sb="40" eb="42">
      <t>ベッシ</t>
    </rPh>
    <rPh sb="48" eb="50">
      <t>カノウ</t>
    </rPh>
    <rPh sb="55" eb="57">
      <t>バアイ</t>
    </rPh>
    <rPh sb="58" eb="60">
      <t>ホンム</t>
    </rPh>
    <rPh sb="61" eb="63">
      <t>ケンム</t>
    </rPh>
    <rPh sb="64" eb="66">
      <t>ウム</t>
    </rPh>
    <rPh sb="67" eb="69">
      <t>ベット</t>
    </rPh>
    <rPh sb="69" eb="71">
      <t>キサイ</t>
    </rPh>
    <phoneticPr fontId="1"/>
  </si>
  <si>
    <t>換算表</t>
    <rPh sb="0" eb="2">
      <t>カンサン</t>
    </rPh>
    <rPh sb="2" eb="3">
      <t>ヒョウ</t>
    </rPh>
    <phoneticPr fontId="3"/>
  </si>
  <si>
    <t>配置者/条件</t>
    <rPh sb="0" eb="3">
      <t>ハイチシャ</t>
    </rPh>
    <rPh sb="4" eb="6">
      <t>ジョウケン</t>
    </rPh>
    <phoneticPr fontId="1"/>
  </si>
  <si>
    <t>勤務時間【時間】</t>
    <rPh sb="0" eb="4">
      <t>キンムジカン</t>
    </rPh>
    <rPh sb="5" eb="7">
      <t>ジカン</t>
    </rPh>
    <phoneticPr fontId="1"/>
  </si>
  <si>
    <t>確認</t>
    <rPh sb="0" eb="2">
      <t>カクニン</t>
    </rPh>
    <phoneticPr fontId="1"/>
  </si>
  <si>
    <t>担当時間【時間】</t>
    <rPh sb="0" eb="4">
      <t>タントウジカン</t>
    </rPh>
    <rPh sb="5" eb="7">
      <t>ジカン</t>
    </rPh>
    <phoneticPr fontId="1"/>
  </si>
  <si>
    <t>申出内容：</t>
    <rPh sb="0" eb="1">
      <t>モウ</t>
    </rPh>
    <rPh sb="1" eb="2">
      <t>デ</t>
    </rPh>
    <rPh sb="2" eb="4">
      <t>ナイヨウ</t>
    </rPh>
    <phoneticPr fontId="1"/>
  </si>
  <si>
    <t>　また、年間平均在所率が120%以上の場合は、減算適用に従います。</t>
    <rPh sb="16" eb="18">
      <t>イジョウ</t>
    </rPh>
    <phoneticPr fontId="1"/>
  </si>
  <si>
    <t>２　見直した区分</t>
    <phoneticPr fontId="1"/>
  </si>
  <si>
    <t>札幌市子ども未来局支援制度担当部長　宛</t>
    <rPh sb="0" eb="3">
      <t>サッポロシ</t>
    </rPh>
    <rPh sb="3" eb="4">
      <t>コ</t>
    </rPh>
    <rPh sb="6" eb="9">
      <t>ミライキョク</t>
    </rPh>
    <rPh sb="9" eb="15">
      <t>シエンセイドタントウ</t>
    </rPh>
    <rPh sb="15" eb="17">
      <t>ブチョウ</t>
    </rPh>
    <rPh sb="18" eb="19">
      <t>アテ</t>
    </rPh>
    <phoneticPr fontId="1"/>
  </si>
  <si>
    <t>別紙６‐１（「減算：定員を恒常的に超過する場合」の添付書類）</t>
    <rPh sb="0" eb="2">
      <t>ベッシ</t>
    </rPh>
    <rPh sb="7" eb="9">
      <t>ゲンサン</t>
    </rPh>
    <rPh sb="10" eb="12">
      <t>テイイン</t>
    </rPh>
    <rPh sb="13" eb="16">
      <t>コウジョウテキ</t>
    </rPh>
    <rPh sb="17" eb="19">
      <t>チョウカ</t>
    </rPh>
    <rPh sb="21" eb="23">
      <t>バアイ</t>
    </rPh>
    <rPh sb="25" eb="27">
      <t>テンプ</t>
    </rPh>
    <rPh sb="27" eb="29">
      <t>ショルイ</t>
    </rPh>
    <phoneticPr fontId="1"/>
  </si>
  <si>
    <t>札幌市子ども未来局支援制度担当部長　宛</t>
    <rPh sb="0" eb="3">
      <t>サッポロシ</t>
    </rPh>
    <rPh sb="3" eb="4">
      <t>コ</t>
    </rPh>
    <rPh sb="6" eb="9">
      <t>ミライキョク</t>
    </rPh>
    <rPh sb="9" eb="17">
      <t>シエンセイドタントウブチョウ</t>
    </rPh>
    <rPh sb="18" eb="19">
      <t>アテ</t>
    </rPh>
    <phoneticPr fontId="1"/>
  </si>
  <si>
    <t>　以下のとおり年間平均在所率が基準を越えることが無いように教育を提供いたします。</t>
    <rPh sb="1" eb="3">
      <t>イカ</t>
    </rPh>
    <rPh sb="7" eb="9">
      <t>ネンカン</t>
    </rPh>
    <rPh sb="9" eb="11">
      <t>ヘイキン</t>
    </rPh>
    <rPh sb="11" eb="13">
      <t>ザイショリ</t>
    </rPh>
    <rPh sb="13" eb="14">
      <t>リツ</t>
    </rPh>
    <rPh sb="15" eb="17">
      <t>キジュン</t>
    </rPh>
    <rPh sb="18" eb="19">
      <t>コ</t>
    </rPh>
    <rPh sb="24" eb="25">
      <t>ナ</t>
    </rPh>
    <rPh sb="29" eb="31">
      <t>キョウイク</t>
    </rPh>
    <rPh sb="32" eb="34">
      <t>テイキョウ</t>
    </rPh>
    <phoneticPr fontId="1"/>
  </si>
  <si>
    <t>申出書の内容</t>
    <rPh sb="0" eb="3">
      <t>モウシデショ</t>
    </rPh>
    <rPh sb="4" eb="6">
      <t>ナイヨウ</t>
    </rPh>
    <phoneticPr fontId="1"/>
  </si>
  <si>
    <t>③ 事業要件のうち5に該当する場合は以下の添付書類を全て提出すること。
　(1)　業務分掌表等の業務分担が分かる書類
　(2)　別紙7
　(3)　5～6歳児の保育(教育)課程の写し</t>
    <rPh sb="2" eb="4">
      <t>ジギョウ</t>
    </rPh>
    <rPh sb="4" eb="6">
      <t>ヨウケン</t>
    </rPh>
    <rPh sb="11" eb="13">
      <t>ガイトウ</t>
    </rPh>
    <rPh sb="15" eb="17">
      <t>バアイ</t>
    </rPh>
    <rPh sb="18" eb="20">
      <t>イカ</t>
    </rPh>
    <rPh sb="21" eb="23">
      <t>テンプ</t>
    </rPh>
    <rPh sb="23" eb="25">
      <t>ショルイ</t>
    </rPh>
    <rPh sb="26" eb="27">
      <t>スベ</t>
    </rPh>
    <rPh sb="28" eb="30">
      <t>テイシュツ</t>
    </rPh>
    <rPh sb="41" eb="43">
      <t>ギョウム</t>
    </rPh>
    <rPh sb="43" eb="45">
      <t>ブンショウ</t>
    </rPh>
    <rPh sb="45" eb="46">
      <t>ヒョウ</t>
    </rPh>
    <rPh sb="46" eb="47">
      <t>トウ</t>
    </rPh>
    <rPh sb="48" eb="50">
      <t>ギョウム</t>
    </rPh>
    <rPh sb="50" eb="52">
      <t>ブンタン</t>
    </rPh>
    <rPh sb="53" eb="54">
      <t>ワ</t>
    </rPh>
    <rPh sb="56" eb="58">
      <t>ショルイ</t>
    </rPh>
    <rPh sb="64" eb="66">
      <t>ベッシ</t>
    </rPh>
    <rPh sb="76" eb="78">
      <t>サイジ</t>
    </rPh>
    <rPh sb="79" eb="81">
      <t>ホイク</t>
    </rPh>
    <rPh sb="82" eb="84">
      <t>キョウイク</t>
    </rPh>
    <rPh sb="85" eb="87">
      <t>カテイ</t>
    </rPh>
    <rPh sb="88" eb="89">
      <t>ウツ</t>
    </rPh>
    <phoneticPr fontId="1"/>
  </si>
  <si>
    <t>　授業・行事、研究会・研修等の小学校との子ども及び教職員の交流活動を年間を通じ複数回計画・実施している（別紙7）</t>
    <rPh sb="1" eb="3">
      <t>ジュギョウ</t>
    </rPh>
    <rPh sb="4" eb="6">
      <t>ギョウジ</t>
    </rPh>
    <rPh sb="7" eb="10">
      <t>ケンキュウカイ</t>
    </rPh>
    <rPh sb="11" eb="13">
      <t>ケンシュウ</t>
    </rPh>
    <rPh sb="13" eb="14">
      <t>トウ</t>
    </rPh>
    <rPh sb="15" eb="18">
      <t>ショウガッコウ</t>
    </rPh>
    <rPh sb="20" eb="21">
      <t>コ</t>
    </rPh>
    <rPh sb="23" eb="24">
      <t>オヨ</t>
    </rPh>
    <rPh sb="25" eb="28">
      <t>キョウショクイン</t>
    </rPh>
    <rPh sb="29" eb="31">
      <t>コウリュウ</t>
    </rPh>
    <rPh sb="31" eb="33">
      <t>カツドウ</t>
    </rPh>
    <rPh sb="34" eb="36">
      <t>ネンカン</t>
    </rPh>
    <rPh sb="37" eb="38">
      <t>ツウ</t>
    </rPh>
    <rPh sb="39" eb="42">
      <t>フクスウカイ</t>
    </rPh>
    <rPh sb="42" eb="44">
      <t>ケイカク</t>
    </rPh>
    <rPh sb="45" eb="47">
      <t>ジッシ</t>
    </rPh>
    <rPh sb="52" eb="54">
      <t>ベッシ</t>
    </rPh>
    <phoneticPr fontId="1"/>
  </si>
  <si>
    <t>別紙７（「主幹教諭等専任加算」の添付書類）</t>
    <rPh sb="0" eb="2">
      <t>ベッシ</t>
    </rPh>
    <rPh sb="5" eb="7">
      <t>シュカン</t>
    </rPh>
    <rPh sb="7" eb="9">
      <t>キョウユ</t>
    </rPh>
    <rPh sb="9" eb="10">
      <t>トウ</t>
    </rPh>
    <rPh sb="10" eb="12">
      <t>センニン</t>
    </rPh>
    <rPh sb="12" eb="14">
      <t>カサン</t>
    </rPh>
    <rPh sb="16" eb="18">
      <t>テンプ</t>
    </rPh>
    <rPh sb="18" eb="20">
      <t>ショルイ</t>
    </rPh>
    <phoneticPr fontId="1"/>
  </si>
  <si>
    <t>　当該様式は主幹教諭等専任加算の要件2-事業要件⑤-イに係る挙証書類（計画書）となっております。該当する場合は以下の記載欄を全て埋めて当該計画書を作成してください。</t>
    <rPh sb="1" eb="5">
      <t>トウガイヨウシキ</t>
    </rPh>
    <rPh sb="6" eb="15">
      <t>シュカンキョウユトウセンニンカサン</t>
    </rPh>
    <rPh sb="16" eb="18">
      <t>ヨウケン</t>
    </rPh>
    <rPh sb="20" eb="24">
      <t>ジギョウヨウケン</t>
    </rPh>
    <rPh sb="28" eb="29">
      <t>カカ</t>
    </rPh>
    <rPh sb="30" eb="32">
      <t>キョショウ</t>
    </rPh>
    <rPh sb="32" eb="34">
      <t>ショルイ</t>
    </rPh>
    <rPh sb="35" eb="38">
      <t>ケイカクショ</t>
    </rPh>
    <rPh sb="48" eb="50">
      <t>ガイトウ</t>
    </rPh>
    <rPh sb="52" eb="54">
      <t>バアイ</t>
    </rPh>
    <rPh sb="55" eb="57">
      <t>イカ</t>
    </rPh>
    <rPh sb="58" eb="61">
      <t>キサイラン</t>
    </rPh>
    <rPh sb="62" eb="63">
      <t>スベ</t>
    </rPh>
    <rPh sb="64" eb="65">
      <t>ウ</t>
    </rPh>
    <rPh sb="67" eb="69">
      <t>トウガイ</t>
    </rPh>
    <rPh sb="69" eb="72">
      <t>ケイカクショ</t>
    </rPh>
    <rPh sb="73" eb="75">
      <t>サクセイ</t>
    </rPh>
    <phoneticPr fontId="1"/>
  </si>
  <si>
    <t>※3　翌年度に実績報告を実施する。また、実績報告時に今年度実施した副食提供の挙証書類（献立表等）の提出を求めるため留意すること</t>
    <rPh sb="3" eb="6">
      <t>ヨクネンド</t>
    </rPh>
    <rPh sb="7" eb="11">
      <t>ジッセキホウコク</t>
    </rPh>
    <rPh sb="12" eb="14">
      <t>ジッシ</t>
    </rPh>
    <rPh sb="20" eb="25">
      <t>ジッセキホウコクジ</t>
    </rPh>
    <rPh sb="26" eb="29">
      <t>コンネンド</t>
    </rPh>
    <rPh sb="29" eb="31">
      <t>ジッシ</t>
    </rPh>
    <rPh sb="33" eb="35">
      <t>フクショク</t>
    </rPh>
    <rPh sb="35" eb="37">
      <t>テイキョウ</t>
    </rPh>
    <rPh sb="43" eb="46">
      <t>コンダテヒョウ</t>
    </rPh>
    <rPh sb="46" eb="47">
      <t>トウ</t>
    </rPh>
    <rPh sb="49" eb="51">
      <t>テイシュツ</t>
    </rPh>
    <rPh sb="52" eb="53">
      <t>モト</t>
    </rPh>
    <rPh sb="57" eb="59">
      <t>リュウイ</t>
    </rPh>
    <phoneticPr fontId="1"/>
  </si>
  <si>
    <t>担当（通常給与で対応している分のみを計上し、超過勤務対応した分は除く）</t>
    <rPh sb="14" eb="15">
      <t>ブン</t>
    </rPh>
    <rPh sb="30" eb="31">
      <t>ブン</t>
    </rPh>
    <phoneticPr fontId="1"/>
  </si>
  <si>
    <t>担当（各補助金で計上する人件費相当を計上。ただし、通常給与で対応している分のみを計上し、超過勤務対応した分は除く）</t>
    <rPh sb="36" eb="37">
      <t>ブン</t>
    </rPh>
    <rPh sb="52" eb="53">
      <t>ブン</t>
    </rPh>
    <phoneticPr fontId="1"/>
  </si>
  <si>
    <t>補助金名</t>
    <rPh sb="0" eb="3">
      <t>ホジョキン</t>
    </rPh>
    <rPh sb="3" eb="4">
      <t>メイ</t>
    </rPh>
    <phoneticPr fontId="1"/>
  </si>
  <si>
    <t>②　職員状況：職種区分を選択肢から選択してください。また、初日時点で有給・無給の是非を選択してください。</t>
    <rPh sb="2" eb="4">
      <t>ショクイン</t>
    </rPh>
    <rPh sb="4" eb="6">
      <t>ジョウキョウ</t>
    </rPh>
    <rPh sb="7" eb="9">
      <t>ショクシュ</t>
    </rPh>
    <rPh sb="9" eb="11">
      <t>クブン</t>
    </rPh>
    <rPh sb="12" eb="15">
      <t>センタクシ</t>
    </rPh>
    <rPh sb="17" eb="19">
      <t>センタク</t>
    </rPh>
    <rPh sb="29" eb="31">
      <t>ショニチ</t>
    </rPh>
    <rPh sb="31" eb="33">
      <t>ジテン</t>
    </rPh>
    <rPh sb="34" eb="36">
      <t>ユウキュウ</t>
    </rPh>
    <rPh sb="37" eb="39">
      <t>ムキュウ</t>
    </rPh>
    <rPh sb="40" eb="42">
      <t>ゼヒ</t>
    </rPh>
    <rPh sb="43" eb="45">
      <t>センタク</t>
    </rPh>
    <phoneticPr fontId="1"/>
  </si>
  <si>
    <t>③　形態：常勤、非常勤の選択及び契約形態を選択してください。また、非常勤の場合は様式3、委託の場合は様式2でひと月の勤務時間数を記載してください。</t>
    <rPh sb="2" eb="4">
      <t>ケイタイ</t>
    </rPh>
    <rPh sb="5" eb="7">
      <t>ジョウキン</t>
    </rPh>
    <rPh sb="8" eb="11">
      <t>ヒジョウキン</t>
    </rPh>
    <rPh sb="12" eb="14">
      <t>センタク</t>
    </rPh>
    <rPh sb="14" eb="15">
      <t>オヨ</t>
    </rPh>
    <rPh sb="16" eb="20">
      <t>ケイヤクケイタイ</t>
    </rPh>
    <rPh sb="21" eb="23">
      <t>センタク</t>
    </rPh>
    <rPh sb="33" eb="36">
      <t>ヒジョウキン</t>
    </rPh>
    <rPh sb="37" eb="39">
      <t>バアイ</t>
    </rPh>
    <rPh sb="40" eb="42">
      <t>ヨウシキ</t>
    </rPh>
    <rPh sb="44" eb="46">
      <t>イタク</t>
    </rPh>
    <rPh sb="47" eb="49">
      <t>バアイ</t>
    </rPh>
    <rPh sb="50" eb="52">
      <t>ヨウシキ</t>
    </rPh>
    <rPh sb="56" eb="57">
      <t>ツキ</t>
    </rPh>
    <rPh sb="58" eb="60">
      <t>キンム</t>
    </rPh>
    <rPh sb="60" eb="62">
      <t>ジカン</t>
    </rPh>
    <rPh sb="62" eb="63">
      <t>スウ</t>
    </rPh>
    <rPh sb="64" eb="66">
      <t>キサイ</t>
    </rPh>
    <phoneticPr fontId="1"/>
  </si>
  <si>
    <t>兼務（給食実施加算-調理で配置する調理員と重複する場合を含む）</t>
    <rPh sb="0" eb="2">
      <t>ケンム</t>
    </rPh>
    <rPh sb="3" eb="5">
      <t>キュウショク</t>
    </rPh>
    <rPh sb="5" eb="7">
      <t>ジッシ</t>
    </rPh>
    <rPh sb="7" eb="9">
      <t>カサン</t>
    </rPh>
    <rPh sb="10" eb="12">
      <t>チョウリ</t>
    </rPh>
    <rPh sb="13" eb="15">
      <t>ハイチ</t>
    </rPh>
    <rPh sb="17" eb="20">
      <t>チョウリイン</t>
    </rPh>
    <rPh sb="21" eb="23">
      <t>チョウフク</t>
    </rPh>
    <rPh sb="25" eb="27">
      <t>バアイ</t>
    </rPh>
    <rPh sb="28" eb="29">
      <t>フク</t>
    </rPh>
    <phoneticPr fontId="1"/>
  </si>
  <si>
    <t>特例</t>
    <rPh sb="0" eb="2">
      <t>トクレイ</t>
    </rPh>
    <phoneticPr fontId="1"/>
  </si>
  <si>
    <t>　下表の特例/修業日/給食日/副食日に必要に応じて「番号」又は「○」を入力してください。</t>
    <rPh sb="1" eb="3">
      <t>カヒョウ</t>
    </rPh>
    <rPh sb="4" eb="6">
      <t>トクレイ</t>
    </rPh>
    <rPh sb="7" eb="9">
      <t>シュウギョウ</t>
    </rPh>
    <rPh sb="9" eb="10">
      <t>ビ</t>
    </rPh>
    <rPh sb="11" eb="13">
      <t>キュウショク</t>
    </rPh>
    <rPh sb="13" eb="14">
      <t>ビ</t>
    </rPh>
    <rPh sb="15" eb="17">
      <t>フクショク</t>
    </rPh>
    <rPh sb="17" eb="18">
      <t>ビ</t>
    </rPh>
    <rPh sb="19" eb="21">
      <t>ヒツヨウ</t>
    </rPh>
    <rPh sb="22" eb="23">
      <t>オウ</t>
    </rPh>
    <rPh sb="26" eb="28">
      <t>バンゴウ</t>
    </rPh>
    <rPh sb="29" eb="30">
      <t>マタ</t>
    </rPh>
    <rPh sb="35" eb="37">
      <t>ニュウリョク</t>
    </rPh>
    <phoneticPr fontId="1"/>
  </si>
  <si>
    <t>①</t>
    <phoneticPr fontId="1"/>
  </si>
  <si>
    <t>②</t>
    <phoneticPr fontId="1"/>
  </si>
  <si>
    <t>③</t>
    <phoneticPr fontId="1"/>
  </si>
  <si>
    <t>④</t>
    <phoneticPr fontId="1"/>
  </si>
  <si>
    <t>１　利用期間を入力</t>
    <rPh sb="2" eb="4">
      <t>リヨウ</t>
    </rPh>
    <rPh sb="4" eb="6">
      <t>キカン</t>
    </rPh>
    <rPh sb="7" eb="9">
      <t>ニュウリョク</t>
    </rPh>
    <phoneticPr fontId="1"/>
  </si>
  <si>
    <t>２　利用児童数（予定）を入力</t>
    <rPh sb="2" eb="4">
      <t>リヨウ</t>
    </rPh>
    <rPh sb="4" eb="6">
      <t>ジドウ</t>
    </rPh>
    <rPh sb="6" eb="7">
      <t>スウ</t>
    </rPh>
    <rPh sb="8" eb="10">
      <t>ヨテイ</t>
    </rPh>
    <rPh sb="12" eb="14">
      <t>ニュウリョク</t>
    </rPh>
    <phoneticPr fontId="1"/>
  </si>
  <si>
    <t>　①：当初予定</t>
    <rPh sb="3" eb="7">
      <t>トウショヨテイ</t>
    </rPh>
    <phoneticPr fontId="1"/>
  </si>
  <si>
    <t>　②：新型コロナの影響がない2019年以前の参考値</t>
    <phoneticPr fontId="1"/>
  </si>
  <si>
    <t>　③：3か年平均</t>
    <rPh sb="5" eb="8">
      <t>ネンヘイキン</t>
    </rPh>
    <phoneticPr fontId="1"/>
  </si>
  <si>
    <t>　④：その他</t>
    <rPh sb="5" eb="6">
      <t>タ</t>
    </rPh>
    <phoneticPr fontId="1"/>
  </si>
  <si>
    <t>・延べ人数：月当たりの延べ利用数を入力してください。</t>
    <rPh sb="1" eb="2">
      <t>ノ</t>
    </rPh>
    <rPh sb="3" eb="5">
      <t>ニンズウ</t>
    </rPh>
    <rPh sb="6" eb="8">
      <t>ツキア</t>
    </rPh>
    <rPh sb="11" eb="12">
      <t>ノ</t>
    </rPh>
    <rPh sb="13" eb="16">
      <t>リヨウスウ</t>
    </rPh>
    <rPh sb="17" eb="19">
      <t>ニュウリョク</t>
    </rPh>
    <phoneticPr fontId="1"/>
  </si>
  <si>
    <t>・特例：新型コロナの影響で休園・家庭保育実施となりバス利用人数に影響がある場合、下記の延べ人数には例年の状況を入れてください。また、特例欄には「例年の状況」の求め方を①～④から選択してください。</t>
    <rPh sb="1" eb="3">
      <t>トクレイ</t>
    </rPh>
    <rPh sb="27" eb="29">
      <t>リヨウ</t>
    </rPh>
    <rPh sb="29" eb="31">
      <t>ニンズウ</t>
    </rPh>
    <phoneticPr fontId="1"/>
  </si>
  <si>
    <t>例年の実施状況の求め方➡　①：当初予定、②：新型コロナの影響がない2019年以前の参考値、③：3か年平均、④：その他</t>
    <rPh sb="0" eb="2">
      <t>レイネン</t>
    </rPh>
    <rPh sb="3" eb="7">
      <t>ジッシジョウキョウ</t>
    </rPh>
    <rPh sb="8" eb="9">
      <t>モト</t>
    </rPh>
    <rPh sb="10" eb="11">
      <t>カタ</t>
    </rPh>
    <rPh sb="15" eb="17">
      <t>トウショ</t>
    </rPh>
    <rPh sb="17" eb="19">
      <t>ヨテイ</t>
    </rPh>
    <rPh sb="22" eb="24">
      <t>シンガタ</t>
    </rPh>
    <rPh sb="28" eb="30">
      <t>エイキョウ</t>
    </rPh>
    <rPh sb="37" eb="40">
      <t>ネンイゼン</t>
    </rPh>
    <rPh sb="41" eb="44">
      <t>サンコウチ</t>
    </rPh>
    <rPh sb="49" eb="52">
      <t>ネンヘイキン</t>
    </rPh>
    <rPh sb="57" eb="58">
      <t>タ</t>
    </rPh>
    <phoneticPr fontId="1"/>
  </si>
  <si>
    <r>
      <t>　・　特例は、</t>
    </r>
    <r>
      <rPr>
        <b/>
        <u/>
        <sz val="10"/>
        <rFont val="ＭＳ 明朝"/>
        <family val="1"/>
        <charset val="128"/>
      </rPr>
      <t>新型コロナの影響で休園・家庭保育実施</t>
    </r>
    <r>
      <rPr>
        <sz val="10"/>
        <rFont val="ＭＳ 明朝"/>
        <family val="1"/>
        <charset val="128"/>
      </rPr>
      <t>となり給食・副食の提供予定に影響がある場合、例年の状況を修業日・給食日・副食日を入力し、特例欄はその「例年の状況」の求め方を下記の①～④から選択してください。</t>
    </r>
    <rPh sb="3" eb="5">
      <t>トクレイ</t>
    </rPh>
    <rPh sb="7" eb="9">
      <t>シンガタ</t>
    </rPh>
    <rPh sb="13" eb="15">
      <t>エイキョウ</t>
    </rPh>
    <rPh sb="16" eb="17">
      <t>キュウ</t>
    </rPh>
    <rPh sb="17" eb="18">
      <t>エン</t>
    </rPh>
    <rPh sb="19" eb="21">
      <t>カテイ</t>
    </rPh>
    <rPh sb="21" eb="23">
      <t>ホイク</t>
    </rPh>
    <rPh sb="23" eb="25">
      <t>ジッシ</t>
    </rPh>
    <rPh sb="28" eb="30">
      <t>キュウショク</t>
    </rPh>
    <rPh sb="31" eb="33">
      <t>フクショク</t>
    </rPh>
    <rPh sb="34" eb="36">
      <t>テイキョウ</t>
    </rPh>
    <rPh sb="36" eb="38">
      <t>ヨテイ</t>
    </rPh>
    <rPh sb="39" eb="41">
      <t>エイキョウ</t>
    </rPh>
    <rPh sb="44" eb="46">
      <t>バアイ</t>
    </rPh>
    <rPh sb="47" eb="49">
      <t>レイネン</t>
    </rPh>
    <rPh sb="50" eb="52">
      <t>ジョウキョウ</t>
    </rPh>
    <rPh sb="53" eb="56">
      <t>シュウギョウヒ</t>
    </rPh>
    <rPh sb="57" eb="60">
      <t>キュウショクビ</t>
    </rPh>
    <rPh sb="61" eb="63">
      <t>フクショク</t>
    </rPh>
    <rPh sb="63" eb="64">
      <t>ビ</t>
    </rPh>
    <rPh sb="65" eb="67">
      <t>ニュウリョク</t>
    </rPh>
    <rPh sb="69" eb="72">
      <t>トクレイラン</t>
    </rPh>
    <rPh sb="76" eb="78">
      <t>レイネン</t>
    </rPh>
    <rPh sb="79" eb="81">
      <t>ジョウキョウ</t>
    </rPh>
    <rPh sb="83" eb="84">
      <t>モト</t>
    </rPh>
    <rPh sb="85" eb="86">
      <t>カタ</t>
    </rPh>
    <rPh sb="87" eb="89">
      <t>カキ</t>
    </rPh>
    <rPh sb="95" eb="97">
      <t>センタク</t>
    </rPh>
    <phoneticPr fontId="1"/>
  </si>
  <si>
    <t>特例：新型コロナ感染症により利用者数が極端に減少した場合は、下記に例年の状況を入力したうえで、右記に「例年の状況（※3）」の算出方法を選択してください</t>
    <rPh sb="0" eb="2">
      <t>トクレイ</t>
    </rPh>
    <rPh sb="3" eb="5">
      <t>シンガタ</t>
    </rPh>
    <rPh sb="8" eb="11">
      <t>カンセンショウ</t>
    </rPh>
    <rPh sb="14" eb="16">
      <t>リヨウ</t>
    </rPh>
    <rPh sb="16" eb="17">
      <t>シャ</t>
    </rPh>
    <rPh sb="17" eb="18">
      <t>スウ</t>
    </rPh>
    <rPh sb="19" eb="21">
      <t>キョクタン</t>
    </rPh>
    <rPh sb="22" eb="24">
      <t>ゲンショウ</t>
    </rPh>
    <rPh sb="26" eb="28">
      <t>バアイ</t>
    </rPh>
    <rPh sb="30" eb="32">
      <t>カキ</t>
    </rPh>
    <rPh sb="33" eb="35">
      <t>レイネン</t>
    </rPh>
    <rPh sb="36" eb="38">
      <t>ジョウキョウ</t>
    </rPh>
    <rPh sb="39" eb="41">
      <t>ニュウリョク</t>
    </rPh>
    <rPh sb="47" eb="49">
      <t>ウキ</t>
    </rPh>
    <rPh sb="51" eb="53">
      <t>レイネン</t>
    </rPh>
    <rPh sb="54" eb="56">
      <t>ジョウキョウ</t>
    </rPh>
    <rPh sb="62" eb="64">
      <t>サンシュツ</t>
    </rPh>
    <rPh sb="64" eb="66">
      <t>ホウホウ</t>
    </rPh>
    <rPh sb="67" eb="69">
      <t>センタク</t>
    </rPh>
    <phoneticPr fontId="1"/>
  </si>
  <si>
    <t>特例</t>
    <rPh sb="0" eb="2">
      <t>トクレイ</t>
    </rPh>
    <phoneticPr fontId="1"/>
  </si>
  <si>
    <t>①</t>
    <phoneticPr fontId="1"/>
  </si>
  <si>
    <t>②</t>
    <phoneticPr fontId="1"/>
  </si>
  <si>
    <t>③</t>
    <phoneticPr fontId="1"/>
  </si>
  <si>
    <t>④</t>
    <phoneticPr fontId="1"/>
  </si>
  <si>
    <t>※３　下記の選択肢から選択すること
　①：当初予定、②：新型コロナの影響がない2019年以前の参考値、③：3か年平均、④：その他</t>
    <rPh sb="3" eb="5">
      <t>カキ</t>
    </rPh>
    <rPh sb="6" eb="9">
      <t>センタクシ</t>
    </rPh>
    <rPh sb="11" eb="13">
      <t>センタク</t>
    </rPh>
    <phoneticPr fontId="1"/>
  </si>
  <si>
    <t>　小学校との連携・接続に関する業務分掌を明確にしている</t>
    <rPh sb="1" eb="4">
      <t>ショウガッコウ</t>
    </rPh>
    <rPh sb="6" eb="8">
      <t>レンケイ</t>
    </rPh>
    <rPh sb="9" eb="11">
      <t>セツゾク</t>
    </rPh>
    <rPh sb="12" eb="13">
      <t>カン</t>
    </rPh>
    <rPh sb="15" eb="17">
      <t>ギョウム</t>
    </rPh>
    <rPh sb="17" eb="19">
      <t>ブンショウ</t>
    </rPh>
    <rPh sb="20" eb="22">
      <t>メイカク</t>
    </rPh>
    <phoneticPr fontId="1"/>
  </si>
  <si>
    <t>02幼稚園</t>
    <rPh sb="2" eb="5">
      <t>ヨウチエン</t>
    </rPh>
    <phoneticPr fontId="1"/>
  </si>
  <si>
    <r>
      <t>担任名（</t>
    </r>
    <r>
      <rPr>
        <b/>
        <sz val="10"/>
        <color rgb="FFFF0000"/>
        <rFont val="ＭＳ Ｐゴシック"/>
        <family val="3"/>
        <charset val="128"/>
      </rPr>
      <t>常勤専任</t>
    </r>
    <r>
      <rPr>
        <b/>
        <sz val="10"/>
        <rFont val="ＭＳ Ｐゴシック"/>
        <family val="3"/>
        <charset val="128"/>
      </rPr>
      <t>）</t>
    </r>
    <rPh sb="0" eb="2">
      <t>タンニン</t>
    </rPh>
    <rPh sb="2" eb="3">
      <t>メイ</t>
    </rPh>
    <rPh sb="4" eb="6">
      <t>ジョウキン</t>
    </rPh>
    <rPh sb="6" eb="8">
      <t>センニン</t>
    </rPh>
    <phoneticPr fontId="3"/>
  </si>
  <si>
    <t>変更</t>
    <rPh sb="0" eb="2">
      <t>ヘンコウ</t>
    </rPh>
    <phoneticPr fontId="1"/>
  </si>
  <si>
    <t>事務兼務</t>
    <rPh sb="0" eb="2">
      <t>ジム</t>
    </rPh>
    <rPh sb="2" eb="4">
      <t>ケンム</t>
    </rPh>
    <phoneticPr fontId="1"/>
  </si>
  <si>
    <t>調理には調理員等を雇用・活用している（以下の(ｱ)～(ｲ)のどちらかを選択）</t>
    <rPh sb="0" eb="2">
      <t>チョウリ</t>
    </rPh>
    <rPh sb="4" eb="7">
      <t>チョウリイン</t>
    </rPh>
    <rPh sb="7" eb="8">
      <t>トウ</t>
    </rPh>
    <rPh sb="9" eb="11">
      <t>コヨウ</t>
    </rPh>
    <rPh sb="12" eb="14">
      <t>カツヨウ</t>
    </rPh>
    <rPh sb="19" eb="21">
      <t>イカ</t>
    </rPh>
    <rPh sb="35" eb="37">
      <t>センタク</t>
    </rPh>
    <phoneticPr fontId="1"/>
  </si>
  <si>
    <t>-</t>
    <phoneticPr fontId="1"/>
  </si>
  <si>
    <t>施設長</t>
    <phoneticPr fontId="1"/>
  </si>
  <si>
    <t>①　別紙5/様式2/様式5</t>
    <rPh sb="2" eb="4">
      <t>ベッシ</t>
    </rPh>
    <rPh sb="6" eb="8">
      <t>ヨウシキ</t>
    </rPh>
    <rPh sb="10" eb="12">
      <t>ヨウシキ</t>
    </rPh>
    <phoneticPr fontId="1"/>
  </si>
  <si>
    <t>-</t>
    <phoneticPr fontId="1"/>
  </si>
  <si>
    <t>施設・事業所名</t>
    <rPh sb="0" eb="2">
      <t>シセツ</t>
    </rPh>
    <rPh sb="3" eb="6">
      <t>ジギョウショ</t>
    </rPh>
    <rPh sb="6" eb="7">
      <t>メイ</t>
    </rPh>
    <phoneticPr fontId="1"/>
  </si>
  <si>
    <t>年齢別配置基準を下回る場合（減算）</t>
    <rPh sb="0" eb="2">
      <t>ネンレイ</t>
    </rPh>
    <rPh sb="2" eb="3">
      <t>ベツ</t>
    </rPh>
    <rPh sb="3" eb="5">
      <t>ハイチ</t>
    </rPh>
    <rPh sb="5" eb="7">
      <t>キジュン</t>
    </rPh>
    <rPh sb="8" eb="10">
      <t>シタマワ</t>
    </rPh>
    <rPh sb="11" eb="13">
      <t>バアイ</t>
    </rPh>
    <rPh sb="14" eb="16">
      <t>ゲンサン</t>
    </rPh>
    <phoneticPr fontId="1"/>
  </si>
  <si>
    <t>定員を恒常的に超過する場合（減算）</t>
    <rPh sb="0" eb="2">
      <t>テイイン</t>
    </rPh>
    <rPh sb="3" eb="6">
      <t>コウジョウテキ</t>
    </rPh>
    <rPh sb="7" eb="9">
      <t>チョウカ</t>
    </rPh>
    <rPh sb="11" eb="13">
      <t>バアイ</t>
    </rPh>
    <rPh sb="14" eb="16">
      <t>ゲンサン</t>
    </rPh>
    <phoneticPr fontId="1"/>
  </si>
  <si>
    <t>琴似中央幼稚園</t>
    <rPh sb="2" eb="7">
      <t>チュウオウヨウチエン</t>
    </rPh>
    <phoneticPr fontId="1"/>
  </si>
  <si>
    <t>※土曜日</t>
    <rPh sb="1" eb="4">
      <t>ドヨウビ</t>
    </rPh>
    <phoneticPr fontId="1"/>
  </si>
  <si>
    <t>①　障がい児の挙証書類1点（障害者手帳（療育支援手帳を含む）、医師の診断書、札幌市障がい児保育認定通知、通所支援受給者証）。なお、該当児童1名分とし、全員分は不要</t>
    <rPh sb="2" eb="3">
      <t>ショウ</t>
    </rPh>
    <rPh sb="5" eb="6">
      <t>ジ</t>
    </rPh>
    <rPh sb="7" eb="9">
      <t>キョショウ</t>
    </rPh>
    <rPh sb="9" eb="11">
      <t>ショルイ</t>
    </rPh>
    <rPh sb="12" eb="13">
      <t>テン</t>
    </rPh>
    <rPh sb="14" eb="16">
      <t>ショウガイ</t>
    </rPh>
    <rPh sb="16" eb="17">
      <t>シャ</t>
    </rPh>
    <rPh sb="17" eb="19">
      <t>テチョウ</t>
    </rPh>
    <rPh sb="20" eb="22">
      <t>リョウイク</t>
    </rPh>
    <rPh sb="22" eb="24">
      <t>シエン</t>
    </rPh>
    <rPh sb="24" eb="26">
      <t>テチョウ</t>
    </rPh>
    <rPh sb="27" eb="28">
      <t>フク</t>
    </rPh>
    <rPh sb="31" eb="33">
      <t>イシ</t>
    </rPh>
    <rPh sb="34" eb="37">
      <t>シンダンショ</t>
    </rPh>
    <rPh sb="38" eb="40">
      <t>サッポロ</t>
    </rPh>
    <rPh sb="40" eb="41">
      <t>シ</t>
    </rPh>
    <rPh sb="41" eb="42">
      <t>ショウ</t>
    </rPh>
    <rPh sb="44" eb="45">
      <t>ジ</t>
    </rPh>
    <rPh sb="45" eb="47">
      <t>ホイク</t>
    </rPh>
    <rPh sb="47" eb="49">
      <t>ニンテイ</t>
    </rPh>
    <rPh sb="49" eb="51">
      <t>ツウチ</t>
    </rPh>
    <rPh sb="52" eb="54">
      <t>ツウショ</t>
    </rPh>
    <rPh sb="54" eb="56">
      <t>シエン</t>
    </rPh>
    <rPh sb="56" eb="59">
      <t>ジュキュウシャ</t>
    </rPh>
    <rPh sb="59" eb="60">
      <t>ショウ</t>
    </rPh>
    <rPh sb="65" eb="67">
      <t>ガイトウ</t>
    </rPh>
    <rPh sb="67" eb="69">
      <t>ジドウ</t>
    </rPh>
    <rPh sb="70" eb="71">
      <t>メイ</t>
    </rPh>
    <rPh sb="71" eb="72">
      <t>ブン</t>
    </rPh>
    <rPh sb="75" eb="77">
      <t>ゼンイン</t>
    </rPh>
    <rPh sb="77" eb="78">
      <t>ブン</t>
    </rPh>
    <rPh sb="79" eb="81">
      <t>フヨウ</t>
    </rPh>
    <phoneticPr fontId="1"/>
  </si>
  <si>
    <t>【作成要領・提出書類チェック表】</t>
    <rPh sb="1" eb="3">
      <t>サクセイ</t>
    </rPh>
    <rPh sb="3" eb="5">
      <t>ヨウリョウ</t>
    </rPh>
    <rPh sb="6" eb="8">
      <t>テイシュツ</t>
    </rPh>
    <rPh sb="8" eb="10">
      <t>ショルイ</t>
    </rPh>
    <rPh sb="14" eb="15">
      <t>ヒョウ</t>
    </rPh>
    <phoneticPr fontId="3"/>
  </si>
  <si>
    <t>黄色</t>
    <rPh sb="0" eb="2">
      <t>キイロ</t>
    </rPh>
    <phoneticPr fontId="3"/>
  </si>
  <si>
    <t>直接手入力してください。</t>
    <rPh sb="0" eb="2">
      <t>チョクセツ</t>
    </rPh>
    <rPh sb="2" eb="3">
      <t>テ</t>
    </rPh>
    <rPh sb="3" eb="5">
      <t>ニュウリョク</t>
    </rPh>
    <phoneticPr fontId="3"/>
  </si>
  <si>
    <t>橙色</t>
    <rPh sb="0" eb="2">
      <t>ダイダイイロ</t>
    </rPh>
    <phoneticPr fontId="1"/>
  </si>
  <si>
    <t>ドロップダウンで選択。</t>
    <rPh sb="8" eb="10">
      <t>センタク</t>
    </rPh>
    <phoneticPr fontId="1"/>
  </si>
  <si>
    <t>水色</t>
    <rPh sb="0" eb="2">
      <t>ミズイロ</t>
    </rPh>
    <phoneticPr fontId="3"/>
  </si>
  <si>
    <t>札幌市で入力済の内容です。変更がある場合は、申し出ください。</t>
    <rPh sb="0" eb="3">
      <t>サッポロシ</t>
    </rPh>
    <rPh sb="4" eb="6">
      <t>ニュウリョク</t>
    </rPh>
    <rPh sb="6" eb="7">
      <t>スミ</t>
    </rPh>
    <rPh sb="8" eb="10">
      <t>ナイヨウ</t>
    </rPh>
    <rPh sb="13" eb="15">
      <t>ヘンコウ</t>
    </rPh>
    <rPh sb="18" eb="20">
      <t>バアイ</t>
    </rPh>
    <rPh sb="22" eb="23">
      <t>モウ</t>
    </rPh>
    <rPh sb="24" eb="25">
      <t>デ</t>
    </rPh>
    <phoneticPr fontId="3"/>
  </si>
  <si>
    <t>白色</t>
    <rPh sb="0" eb="1">
      <t>シロ</t>
    </rPh>
    <rPh sb="1" eb="2">
      <t>イロ</t>
    </rPh>
    <phoneticPr fontId="3"/>
  </si>
  <si>
    <t>入力不可</t>
    <rPh sb="0" eb="4">
      <t>ニュウリョクフカ</t>
    </rPh>
    <phoneticPr fontId="1"/>
  </si>
  <si>
    <t>【提出方法】</t>
    <rPh sb="1" eb="5">
      <t>テイシュツホウホウ</t>
    </rPh>
    <phoneticPr fontId="3"/>
  </si>
  <si>
    <t>＜Excelデータ 提出先＞</t>
    <rPh sb="10" eb="12">
      <t>テイシュツ</t>
    </rPh>
    <rPh sb="12" eb="13">
      <t>サキ</t>
    </rPh>
    <phoneticPr fontId="74"/>
  </si>
  <si>
    <t>アドレス</t>
    <phoneticPr fontId="3"/>
  </si>
  <si>
    <t>kyufuhi@city.sapporo.jp</t>
    <phoneticPr fontId="74"/>
  </si>
  <si>
    <t>メール件名</t>
    <rPh sb="3" eb="5">
      <t>ケンメイ</t>
    </rPh>
    <phoneticPr fontId="3"/>
  </si>
  <si>
    <r>
      <t>←</t>
    </r>
    <r>
      <rPr>
        <sz val="12"/>
        <color rgb="FFFF0000"/>
        <rFont val="ＭＳ ゴシック"/>
        <family val="3"/>
        <charset val="128"/>
      </rPr>
      <t>（【様式１】で園名を選ぶと反映）</t>
    </r>
    <phoneticPr fontId="74"/>
  </si>
  <si>
    <t>パスワード</t>
    <phoneticPr fontId="3"/>
  </si>
  <si>
    <t>29hoiku86</t>
    <phoneticPr fontId="74"/>
  </si>
  <si>
    <r>
      <rPr>
        <b/>
        <sz val="12"/>
        <color rgb="FFFF0000"/>
        <rFont val="ＭＳ ゴシック"/>
        <family val="3"/>
        <charset val="128"/>
      </rPr>
      <t xml:space="preserve">← </t>
    </r>
    <r>
      <rPr>
        <b/>
        <sz val="12"/>
        <rFont val="ＭＳ ゴシック"/>
        <family val="3"/>
        <charset val="128"/>
      </rPr>
      <t>Excelデータをこちらのパスワードで</t>
    </r>
    <phoneticPr fontId="74"/>
  </si>
  <si>
    <t>　 zipファイル化して、メールに添付してください。</t>
    <phoneticPr fontId="74"/>
  </si>
  <si>
    <t>＜添付書類 郵送先＞</t>
    <rPh sb="1" eb="5">
      <t>テンプショルイ</t>
    </rPh>
    <rPh sb="6" eb="9">
      <t>ユウソウサキ</t>
    </rPh>
    <phoneticPr fontId="74"/>
  </si>
  <si>
    <t>〒060-0051</t>
    <phoneticPr fontId="74"/>
  </si>
  <si>
    <r>
      <rPr>
        <b/>
        <sz val="12"/>
        <color rgb="FFFF0000"/>
        <rFont val="ＭＳ ゴシック"/>
        <family val="3"/>
        <charset val="128"/>
      </rPr>
      <t>←</t>
    </r>
    <r>
      <rPr>
        <b/>
        <sz val="12"/>
        <rFont val="ＭＳ ゴシック"/>
        <family val="3"/>
        <charset val="128"/>
      </rPr>
      <t>「【別添】添付書類の表紙」を付けて郵送してください。</t>
    </r>
    <rPh sb="3" eb="5">
      <t>ベッテン</t>
    </rPh>
    <rPh sb="6" eb="10">
      <t>テンプショルイ</t>
    </rPh>
    <rPh sb="11" eb="13">
      <t>ヒョウシ</t>
    </rPh>
    <rPh sb="15" eb="16">
      <t>ツ</t>
    </rPh>
    <rPh sb="18" eb="20">
      <t>ユウソウ</t>
    </rPh>
    <phoneticPr fontId="74"/>
  </si>
  <si>
    <t>札幌市中央区南１条東１丁目　大通バスセンタービル３階</t>
    <phoneticPr fontId="74"/>
  </si>
  <si>
    <t>　（右隣のシート）</t>
    <rPh sb="2" eb="4">
      <t>ミギドナリ</t>
    </rPh>
    <phoneticPr fontId="1"/>
  </si>
  <si>
    <t>子ども未来局子育て支援部施設運営課給付係　　TEL 011-211-3027</t>
    <rPh sb="6" eb="8">
      <t>コソダ</t>
    </rPh>
    <rPh sb="9" eb="11">
      <t>シエン</t>
    </rPh>
    <rPh sb="12" eb="14">
      <t>シセツ</t>
    </rPh>
    <rPh sb="14" eb="16">
      <t>ウンエイ</t>
    </rPh>
    <rPh sb="16" eb="17">
      <t>カ</t>
    </rPh>
    <phoneticPr fontId="74"/>
  </si>
  <si>
    <t>【お問い合わせについて】</t>
    <rPh sb="2" eb="3">
      <t>ト</t>
    </rPh>
    <rPh sb="4" eb="5">
      <t>ア</t>
    </rPh>
    <phoneticPr fontId="3"/>
  </si>
  <si>
    <t>メールでのお問い合わせにご協力ください。（様式の入力がうまくいかない等、データをこちらで確認する必要がある場合はデータも添付してください。）</t>
    <rPh sb="6" eb="7">
      <t>ト</t>
    </rPh>
    <rPh sb="8" eb="9">
      <t>ア</t>
    </rPh>
    <rPh sb="13" eb="15">
      <t>キョウリョク</t>
    </rPh>
    <rPh sb="21" eb="23">
      <t>ヨウシキ</t>
    </rPh>
    <rPh sb="24" eb="26">
      <t>ニュウリョク</t>
    </rPh>
    <rPh sb="34" eb="35">
      <t>トウ</t>
    </rPh>
    <rPh sb="44" eb="46">
      <t>カクニン</t>
    </rPh>
    <rPh sb="48" eb="50">
      <t>ヒツヨウ</t>
    </rPh>
    <rPh sb="53" eb="55">
      <t>バアイ</t>
    </rPh>
    <rPh sb="60" eb="62">
      <t>テンプ</t>
    </rPh>
    <phoneticPr fontId="74"/>
  </si>
  <si>
    <t>アドレス</t>
  </si>
  <si>
    <t>【作成にあたって】</t>
    <rPh sb="1" eb="3">
      <t>サクセイ</t>
    </rPh>
    <phoneticPr fontId="3"/>
  </si>
  <si>
    <t>項目</t>
    <rPh sb="0" eb="2">
      <t>コウモク</t>
    </rPh>
    <phoneticPr fontId="3"/>
  </si>
  <si>
    <t>説明</t>
    <rPh sb="0" eb="2">
      <t>セツメイ</t>
    </rPh>
    <phoneticPr fontId="74"/>
  </si>
  <si>
    <t>作成ソフト</t>
    <rPh sb="0" eb="2">
      <t>サクセイ</t>
    </rPh>
    <phoneticPr fontId="3"/>
  </si>
  <si>
    <t>作成手順</t>
    <rPh sb="0" eb="4">
      <t>サクセイテジュン</t>
    </rPh>
    <phoneticPr fontId="3"/>
  </si>
  <si>
    <t>参考資料</t>
    <rPh sb="0" eb="4">
      <t>サンコウシリョウ</t>
    </rPh>
    <phoneticPr fontId="1"/>
  </si>
  <si>
    <t xml:space="preserve"> ・　依頼文　（各月分の申請期限はこちらでご確認ください。）</t>
    <rPh sb="3" eb="6">
      <t>イライブン</t>
    </rPh>
    <rPh sb="8" eb="11">
      <t>カクツキブン</t>
    </rPh>
    <rPh sb="12" eb="14">
      <t>シンセイ</t>
    </rPh>
    <rPh sb="14" eb="16">
      <t>キゲン</t>
    </rPh>
    <rPh sb="22" eb="24">
      <t>カクニン</t>
    </rPh>
    <phoneticPr fontId="1"/>
  </si>
  <si>
    <t xml:space="preserve"> ・　様式内の「作成方法」シート、各シート印刷範囲外の説明書き</t>
  </si>
  <si>
    <t xml:space="preserve"> ・　加算・調整項目申請書作成要領　（依頼時に送付）</t>
    <rPh sb="19" eb="22">
      <t>イライジ</t>
    </rPh>
    <rPh sb="23" eb="25">
      <t>ソウフ</t>
    </rPh>
    <phoneticPr fontId="1"/>
  </si>
  <si>
    <t>＜様式５＞
職員算出表の職種別調整箇所の非表示。</t>
    <phoneticPr fontId="1"/>
  </si>
  <si>
    <t>提出日</t>
    <rPh sb="0" eb="2">
      <t>テイシュツ</t>
    </rPh>
    <rPh sb="2" eb="3">
      <t>ビ</t>
    </rPh>
    <phoneticPr fontId="1"/>
  </si>
  <si>
    <t>幌南学園幼稚園</t>
    <rPh sb="0" eb="1">
      <t>ホロ</t>
    </rPh>
    <rPh sb="1" eb="2">
      <t>ミナミ</t>
    </rPh>
    <rPh sb="2" eb="4">
      <t>ガクエン</t>
    </rPh>
    <rPh sb="4" eb="7">
      <t>ヨウチエン</t>
    </rPh>
    <phoneticPr fontId="1"/>
  </si>
  <si>
    <t>②　幼稚園教諭免許状の写し</t>
    <rPh sb="2" eb="5">
      <t>ヨウチエン</t>
    </rPh>
    <rPh sb="5" eb="7">
      <t>キョウユ</t>
    </rPh>
    <rPh sb="7" eb="9">
      <t>メンキョ</t>
    </rPh>
    <rPh sb="9" eb="10">
      <t>ジョウ</t>
    </rPh>
    <rPh sb="11" eb="12">
      <t>ウツ</t>
    </rPh>
    <phoneticPr fontId="1"/>
  </si>
  <si>
    <t>施設コード</t>
    <rPh sb="0" eb="2">
      <t>シセツ</t>
    </rPh>
    <phoneticPr fontId="1"/>
  </si>
  <si>
    <t>施設名</t>
    <rPh sb="0" eb="3">
      <t>シセツメイ</t>
    </rPh>
    <phoneticPr fontId="1"/>
  </si>
  <si>
    <t>kyufuhi@city.sapporo.jp</t>
  </si>
  <si>
    <r>
      <rPr>
        <b/>
        <sz val="12"/>
        <color rgb="FFFF0000"/>
        <rFont val="ＭＳ ゴシック"/>
        <family val="3"/>
        <charset val="128"/>
      </rPr>
      <t>←</t>
    </r>
    <r>
      <rPr>
        <b/>
        <sz val="12"/>
        <rFont val="ＭＳ ゴシック"/>
        <family val="3"/>
        <charset val="128"/>
      </rPr>
      <t>メールの件名はこちらをコピーして使用してください。</t>
    </r>
    <rPh sb="5" eb="7">
      <t>ケンメイ</t>
    </rPh>
    <rPh sb="17" eb="19">
      <t>シヨウ</t>
    </rPh>
    <phoneticPr fontId="74"/>
  </si>
  <si>
    <t>　　　　　　　　　　※問い合わせの際は、作成途中の申請書（エクセル）を一緒に添付してください。</t>
    <rPh sb="11" eb="12">
      <t>ト</t>
    </rPh>
    <rPh sb="13" eb="14">
      <t>ア</t>
    </rPh>
    <rPh sb="17" eb="18">
      <t>サイ</t>
    </rPh>
    <rPh sb="20" eb="24">
      <t>サクセイトチュウ</t>
    </rPh>
    <rPh sb="25" eb="28">
      <t>シンセイショ</t>
    </rPh>
    <phoneticPr fontId="1"/>
  </si>
  <si>
    <t>【提出先】</t>
    <rPh sb="1" eb="3">
      <t>テイシュツ</t>
    </rPh>
    <rPh sb="3" eb="4">
      <t>サキ</t>
    </rPh>
    <phoneticPr fontId="3"/>
  </si>
  <si>
    <t>＜Excelデータ＞</t>
    <rPh sb="9" eb="10">
      <t>デサキ</t>
    </rPh>
    <phoneticPr fontId="74"/>
  </si>
  <si>
    <t>エクセル名</t>
    <rPh sb="4" eb="5">
      <t>メイ</t>
    </rPh>
    <phoneticPr fontId="1"/>
  </si>
  <si>
    <t>29hoiku86</t>
    <phoneticPr fontId="1"/>
  </si>
  <si>
    <r>
      <rPr>
        <b/>
        <sz val="12"/>
        <color rgb="FFFF0000"/>
        <rFont val="ＭＳ ゴシック"/>
        <family val="3"/>
        <charset val="128"/>
      </rPr>
      <t>←</t>
    </r>
    <r>
      <rPr>
        <b/>
        <sz val="12"/>
        <rFont val="ＭＳ ゴシック"/>
        <family val="3"/>
        <charset val="128"/>
      </rPr>
      <t>Excelデータをこちらのパスワードでお願いします。</t>
    </r>
    <rPh sb="21" eb="22">
      <t>ネガ</t>
    </rPh>
    <phoneticPr fontId="74"/>
  </si>
  <si>
    <t>＜PDFデータ（加算の添付書類）＞</t>
    <rPh sb="8" eb="10">
      <t>カサン</t>
    </rPh>
    <rPh sb="11" eb="15">
      <t>テンプショルイ</t>
    </rPh>
    <rPh sb="16" eb="17">
      <t>デサキ</t>
    </rPh>
    <phoneticPr fontId="74"/>
  </si>
  <si>
    <t>※ＰＤＦで提出いただく添付書類の名前は、以下のリストからコピーして使用してください。</t>
    <rPh sb="5" eb="7">
      <t>テイシュツ</t>
    </rPh>
    <rPh sb="11" eb="15">
      <t>テンプショルイ</t>
    </rPh>
    <rPh sb="16" eb="18">
      <t>ナマエ</t>
    </rPh>
    <rPh sb="20" eb="22">
      <t>イカ</t>
    </rPh>
    <rPh sb="33" eb="35">
      <t>シヨウ</t>
    </rPh>
    <phoneticPr fontId="3"/>
  </si>
  <si>
    <t>添付書類が必要な加算</t>
    <rPh sb="0" eb="2">
      <t>テンプ</t>
    </rPh>
    <rPh sb="2" eb="4">
      <t>ショルイ</t>
    </rPh>
    <rPh sb="5" eb="7">
      <t>ヒツヨウ</t>
    </rPh>
    <rPh sb="8" eb="10">
      <t>カサン</t>
    </rPh>
    <phoneticPr fontId="1"/>
  </si>
  <si>
    <t>挙証書類の名前</t>
    <rPh sb="0" eb="4">
      <t>キョショウショルイ</t>
    </rPh>
    <rPh sb="5" eb="7">
      <t>ナマエ</t>
    </rPh>
    <phoneticPr fontId="1"/>
  </si>
  <si>
    <t>添付書類①</t>
    <rPh sb="0" eb="2">
      <t>テンプ</t>
    </rPh>
    <rPh sb="2" eb="4">
      <t>ショルイ</t>
    </rPh>
    <phoneticPr fontId="1"/>
  </si>
  <si>
    <t>添付書類が必要な加算</t>
    <rPh sb="0" eb="4">
      <t>テンプショルイ</t>
    </rPh>
    <rPh sb="5" eb="7">
      <t>ヒツヨウ</t>
    </rPh>
    <rPh sb="8" eb="10">
      <t>カサン</t>
    </rPh>
    <phoneticPr fontId="1"/>
  </si>
  <si>
    <t>適用可否</t>
    <rPh sb="0" eb="4">
      <t>テキヨウカヒ</t>
    </rPh>
    <phoneticPr fontId="1"/>
  </si>
  <si>
    <t>変換</t>
    <rPh sb="0" eb="2">
      <t>ヘンカン</t>
    </rPh>
    <phoneticPr fontId="1"/>
  </si>
  <si>
    <t>添付書類②</t>
    <rPh sb="0" eb="2">
      <t>テンプ</t>
    </rPh>
    <rPh sb="2" eb="4">
      <t>ショルイ</t>
    </rPh>
    <phoneticPr fontId="1"/>
  </si>
  <si>
    <t>添付書類③</t>
    <rPh sb="0" eb="2">
      <t>テンプ</t>
    </rPh>
    <rPh sb="2" eb="4">
      <t>ショルイ</t>
    </rPh>
    <phoneticPr fontId="1"/>
  </si>
  <si>
    <t>療育支援加算</t>
  </si>
  <si>
    <t>栄養管理加算</t>
  </si>
  <si>
    <t>添付書類④</t>
    <rPh sb="0" eb="2">
      <t>テンプ</t>
    </rPh>
    <rPh sb="2" eb="4">
      <t>ショルイ</t>
    </rPh>
    <phoneticPr fontId="1"/>
  </si>
  <si>
    <t>添付書類⑤</t>
    <rPh sb="0" eb="2">
      <t>テンプ</t>
    </rPh>
    <rPh sb="2" eb="4">
      <t>ショルイ</t>
    </rPh>
    <phoneticPr fontId="1"/>
  </si>
  <si>
    <t>添付書類⑥</t>
    <rPh sb="0" eb="2">
      <t>テンプ</t>
    </rPh>
    <rPh sb="2" eb="4">
      <t>ショルイ</t>
    </rPh>
    <phoneticPr fontId="1"/>
  </si>
  <si>
    <t>添付書類⑦</t>
    <rPh sb="0" eb="2">
      <t>テンプ</t>
    </rPh>
    <rPh sb="2" eb="4">
      <t>ショルイ</t>
    </rPh>
    <phoneticPr fontId="1"/>
  </si>
  <si>
    <t>添付書類⑧</t>
    <rPh sb="0" eb="2">
      <t>テンプ</t>
    </rPh>
    <rPh sb="2" eb="4">
      <t>ショルイ</t>
    </rPh>
    <phoneticPr fontId="1"/>
  </si>
  <si>
    <t>添付書類⑨</t>
    <rPh sb="0" eb="2">
      <t>テンプ</t>
    </rPh>
    <rPh sb="2" eb="4">
      <t>ショルイ</t>
    </rPh>
    <phoneticPr fontId="1"/>
  </si>
  <si>
    <t>添付書類⑩</t>
    <rPh sb="0" eb="2">
      <t>テンプ</t>
    </rPh>
    <rPh sb="2" eb="4">
      <t>ショルイ</t>
    </rPh>
    <phoneticPr fontId="1"/>
  </si>
  <si>
    <t>添付書類⑪</t>
    <rPh sb="0" eb="2">
      <t>テンプ</t>
    </rPh>
    <rPh sb="2" eb="4">
      <t>ショルイ</t>
    </rPh>
    <phoneticPr fontId="1"/>
  </si>
  <si>
    <t>添付書類⑫</t>
    <rPh sb="0" eb="2">
      <t>テンプ</t>
    </rPh>
    <rPh sb="2" eb="4">
      <t>ショルイ</t>
    </rPh>
    <phoneticPr fontId="1"/>
  </si>
  <si>
    <t>添付書類⑬</t>
    <rPh sb="0" eb="2">
      <t>テンプ</t>
    </rPh>
    <rPh sb="2" eb="4">
      <t>ショルイ</t>
    </rPh>
    <phoneticPr fontId="1"/>
  </si>
  <si>
    <t>主幹教諭等専任加算</t>
  </si>
  <si>
    <t>子育て支援活動費加算</t>
  </si>
  <si>
    <t>事務職員配置加算</t>
  </si>
  <si>
    <t>事務負担対応加配加算</t>
  </si>
  <si>
    <t>講師配置加算</t>
    <phoneticPr fontId="1"/>
  </si>
  <si>
    <r>
      <t xml:space="preserve">＜【別添】添付書類の表紙＞
</t>
    </r>
    <r>
      <rPr>
        <sz val="9"/>
        <color theme="1"/>
        <rFont val="ＭＳ Ｐゴシック"/>
        <family val="3"/>
        <charset val="128"/>
        <scheme val="minor"/>
      </rPr>
      <t xml:space="preserve">データでの提出を前提とした内容に変更
</t>
    </r>
    <r>
      <rPr>
        <b/>
        <sz val="9"/>
        <color theme="1"/>
        <rFont val="ＭＳ Ｐゴシック"/>
        <family val="3"/>
        <charset val="128"/>
        <scheme val="minor"/>
      </rPr>
      <t xml:space="preserve">＜【様式１】総括表・個票＞
</t>
    </r>
    <r>
      <rPr>
        <sz val="9"/>
        <color theme="1"/>
        <rFont val="ＭＳ Ｐゴシック"/>
        <family val="3"/>
        <charset val="128"/>
        <scheme val="minor"/>
      </rPr>
      <t xml:space="preserve">処遇改善加算Ⅲの項目を追加
コロナ特例を廃止
</t>
    </r>
    <r>
      <rPr>
        <b/>
        <sz val="9"/>
        <color theme="1"/>
        <rFont val="ＭＳ Ｐゴシック"/>
        <family val="3"/>
        <charset val="128"/>
        <scheme val="minor"/>
      </rPr>
      <t xml:space="preserve">＜(別紙４)通園、(別紙5)給食・副食＞
</t>
    </r>
    <r>
      <rPr>
        <sz val="9"/>
        <color theme="1"/>
        <rFont val="ＭＳ Ｐゴシック"/>
        <family val="3"/>
        <charset val="128"/>
        <scheme val="minor"/>
      </rPr>
      <t>コロナ特例を廃止</t>
    </r>
    <r>
      <rPr>
        <b/>
        <sz val="9"/>
        <color theme="1"/>
        <rFont val="ＭＳ Ｐゴシック"/>
        <family val="3"/>
        <charset val="128"/>
        <scheme val="minor"/>
      </rPr>
      <t xml:space="preserve">
＜【様式３】シフト表＞
</t>
    </r>
    <r>
      <rPr>
        <sz val="9"/>
        <color theme="1"/>
        <rFont val="ＭＳ Ｐゴシック"/>
        <family val="3"/>
        <charset val="128"/>
        <scheme val="minor"/>
      </rPr>
      <t>常勤換算の時間数を超える入力の制限を追加</t>
    </r>
    <r>
      <rPr>
        <b/>
        <sz val="9"/>
        <color theme="1"/>
        <rFont val="ＭＳ Ｐゴシック"/>
        <family val="3"/>
        <charset val="128"/>
        <scheme val="minor"/>
      </rPr>
      <t xml:space="preserve">
＜【様式6】加算確認表＞
</t>
    </r>
    <r>
      <rPr>
        <sz val="9"/>
        <color theme="1"/>
        <rFont val="ＭＳ Ｐゴシック"/>
        <family val="3"/>
        <charset val="128"/>
        <scheme val="minor"/>
      </rPr>
      <t>処遇改善加算Ⅲの項目を追加</t>
    </r>
    <phoneticPr fontId="1"/>
  </si>
  <si>
    <t>※1　副食の提供状況については保護者への意向聴取等により施設（事業所）が把握している各月初日における副食の提供状況による。また、施設（事業所）の都合によらず副食の一部または全部の提供を要しない利用子どもについては副食の全てを提供しているのものみなす。</t>
    <rPh sb="3" eb="5">
      <t>フクショク</t>
    </rPh>
    <rPh sb="6" eb="8">
      <t>テイキョウ</t>
    </rPh>
    <rPh sb="8" eb="10">
      <t>ジョウキョウ</t>
    </rPh>
    <rPh sb="15" eb="18">
      <t>ホゴシャ</t>
    </rPh>
    <rPh sb="20" eb="22">
      <t>イコウ</t>
    </rPh>
    <rPh sb="22" eb="24">
      <t>チョウシュ</t>
    </rPh>
    <rPh sb="24" eb="25">
      <t>トウ</t>
    </rPh>
    <rPh sb="28" eb="30">
      <t>シセツ</t>
    </rPh>
    <rPh sb="31" eb="33">
      <t>ジギョウ</t>
    </rPh>
    <rPh sb="33" eb="34">
      <t>ショ</t>
    </rPh>
    <rPh sb="36" eb="38">
      <t>ハアク</t>
    </rPh>
    <rPh sb="42" eb="44">
      <t>カクツキ</t>
    </rPh>
    <rPh sb="44" eb="46">
      <t>ショニチ</t>
    </rPh>
    <rPh sb="50" eb="52">
      <t>フクショク</t>
    </rPh>
    <rPh sb="53" eb="55">
      <t>テイキョウ</t>
    </rPh>
    <rPh sb="55" eb="57">
      <t>ジョウキョウ</t>
    </rPh>
    <rPh sb="64" eb="66">
      <t>シセツ</t>
    </rPh>
    <rPh sb="67" eb="69">
      <t>ジギョウ</t>
    </rPh>
    <rPh sb="69" eb="70">
      <t>ショ</t>
    </rPh>
    <rPh sb="72" eb="74">
      <t>ツゴウ</t>
    </rPh>
    <rPh sb="78" eb="80">
      <t>フクショク</t>
    </rPh>
    <rPh sb="81" eb="83">
      <t>イチブ</t>
    </rPh>
    <rPh sb="86" eb="88">
      <t>ゼンブ</t>
    </rPh>
    <rPh sb="89" eb="91">
      <t>テイキョウ</t>
    </rPh>
    <rPh sb="92" eb="93">
      <t>ヨウ</t>
    </rPh>
    <rPh sb="96" eb="98">
      <t>リヨウ</t>
    </rPh>
    <rPh sb="98" eb="99">
      <t>コ</t>
    </rPh>
    <rPh sb="106" eb="108">
      <t>フクショク</t>
    </rPh>
    <rPh sb="109" eb="110">
      <t>スベ</t>
    </rPh>
    <rPh sb="112" eb="114">
      <t>テイキョウ</t>
    </rPh>
    <phoneticPr fontId="1"/>
  </si>
  <si>
    <t>※2　加算の対象とならない副食の提供に要する費用については、保護者から徴収することが可能</t>
    <phoneticPr fontId="1"/>
  </si>
  <si>
    <t>※3　給食実施加算と異なり、副食を一部しか提供しない日は含まない</t>
    <rPh sb="3" eb="5">
      <t>キュウショク</t>
    </rPh>
    <rPh sb="5" eb="7">
      <t>ジッシ</t>
    </rPh>
    <rPh sb="7" eb="9">
      <t>カサン</t>
    </rPh>
    <rPh sb="10" eb="11">
      <t>コト</t>
    </rPh>
    <rPh sb="14" eb="16">
      <t>フクショク</t>
    </rPh>
    <rPh sb="17" eb="19">
      <t>イチブ</t>
    </rPh>
    <rPh sb="21" eb="23">
      <t>テイキョウ</t>
    </rPh>
    <rPh sb="26" eb="27">
      <t>ヒ</t>
    </rPh>
    <rPh sb="28" eb="29">
      <t>フク</t>
    </rPh>
    <phoneticPr fontId="1"/>
  </si>
  <si>
    <t>※4　翌年度に実績報告を実施する。また、実績報告時に今年度実施した副食提供の挙証書類（献立表等）の提出を求めるため留意すること</t>
    <rPh sb="3" eb="6">
      <t>ヨクネンド</t>
    </rPh>
    <rPh sb="7" eb="11">
      <t>ジッセキホウコク</t>
    </rPh>
    <rPh sb="12" eb="14">
      <t>ジッシ</t>
    </rPh>
    <rPh sb="20" eb="25">
      <t>ジッセキホウコクジ</t>
    </rPh>
    <rPh sb="26" eb="29">
      <t>コンネンド</t>
    </rPh>
    <rPh sb="29" eb="31">
      <t>ジッシ</t>
    </rPh>
    <rPh sb="33" eb="35">
      <t>フクショク</t>
    </rPh>
    <rPh sb="35" eb="37">
      <t>テイキョウ</t>
    </rPh>
    <rPh sb="43" eb="46">
      <t>コンダテヒョウ</t>
    </rPh>
    <rPh sb="46" eb="47">
      <t>トウ</t>
    </rPh>
    <rPh sb="49" eb="51">
      <t>テイシュツ</t>
    </rPh>
    <rPh sb="52" eb="53">
      <t>モト</t>
    </rPh>
    <rPh sb="57" eb="59">
      <t>リュウイ</t>
    </rPh>
    <phoneticPr fontId="1"/>
  </si>
  <si>
    <t>4歳以上児配置改善加算</t>
    <phoneticPr fontId="1"/>
  </si>
  <si>
    <t>職員配置を充足している（様式5）</t>
    <rPh sb="0" eb="2">
      <t>ショクイン</t>
    </rPh>
    <rPh sb="2" eb="4">
      <t>ハイチ</t>
    </rPh>
    <rPh sb="5" eb="7">
      <t>ジュウソク</t>
    </rPh>
    <rPh sb="12" eb="14">
      <t>ヨウシキ</t>
    </rPh>
    <phoneticPr fontId="1"/>
  </si>
  <si>
    <t>チーム保育加配加算が算定されていない</t>
    <rPh sb="3" eb="5">
      <t>ホイク</t>
    </rPh>
    <rPh sb="5" eb="7">
      <t>カハイ</t>
    </rPh>
    <rPh sb="7" eb="9">
      <t>カサン</t>
    </rPh>
    <rPh sb="10" eb="12">
      <t>サンテイ</t>
    </rPh>
    <phoneticPr fontId="1"/>
  </si>
  <si>
    <t>主幹教諭等が学級担任を兼務していないか、主幹教諭等が学級担任を代理する場合であっても、その期間がひと月を超えない</t>
    <rPh sb="0" eb="2">
      <t>シュカン</t>
    </rPh>
    <rPh sb="2" eb="4">
      <t>キョウユ</t>
    </rPh>
    <rPh sb="4" eb="5">
      <t>トウ</t>
    </rPh>
    <rPh sb="6" eb="10">
      <t>ガッキュウタンニン</t>
    </rPh>
    <rPh sb="11" eb="13">
      <t>ケンム</t>
    </rPh>
    <rPh sb="20" eb="22">
      <t>シュカン</t>
    </rPh>
    <rPh sb="22" eb="24">
      <t>キョウユ</t>
    </rPh>
    <rPh sb="24" eb="25">
      <t>トウ</t>
    </rPh>
    <rPh sb="26" eb="30">
      <t>ガッキュウタンニン</t>
    </rPh>
    <rPh sb="31" eb="33">
      <t>ダイリ</t>
    </rPh>
    <rPh sb="35" eb="37">
      <t>バアイ</t>
    </rPh>
    <rPh sb="45" eb="47">
      <t>キカン</t>
    </rPh>
    <rPh sb="50" eb="51">
      <t>ゲツ</t>
    </rPh>
    <rPh sb="52" eb="53">
      <t>コ</t>
    </rPh>
    <phoneticPr fontId="1"/>
  </si>
  <si>
    <t>　小学校と協働して、5歳児から小学校1年生の2年間（2年以上を含む。）のカリキュラムを編成・実施している</t>
    <phoneticPr fontId="1"/>
  </si>
  <si>
    <t>⑥</t>
    <phoneticPr fontId="1"/>
  </si>
  <si>
    <t>　地方自治体に所属して幼児教育の専門的な知見や豊富な実践経験に基づき幼児教育に関する指導助言等を行う者と連携した園内研修の企画・実施</t>
    <phoneticPr fontId="1"/>
  </si>
  <si>
    <t>（幼児教育に関する指導助言等を行う者は、都道府県及び市町村等の教育委員会又は幼児教育センターなど幼児教育施設に対して幼児教育の内容・指導方法等の指導助言等を行う部局、あるいは幼児教育アドバイザーなどの地方自治体に所属する者を指す）</t>
    <rPh sb="1" eb="5">
      <t>ヨウジキョウイク</t>
    </rPh>
    <rPh sb="6" eb="7">
      <t>カン</t>
    </rPh>
    <rPh sb="9" eb="11">
      <t>シドウ</t>
    </rPh>
    <rPh sb="11" eb="13">
      <t>ジョゲン</t>
    </rPh>
    <rPh sb="13" eb="14">
      <t>トウ</t>
    </rPh>
    <rPh sb="15" eb="16">
      <t>オコナ</t>
    </rPh>
    <rPh sb="17" eb="18">
      <t>モノ</t>
    </rPh>
    <rPh sb="100" eb="105">
      <t>チホウジチタイ</t>
    </rPh>
    <rPh sb="106" eb="108">
      <t>ショゾク</t>
    </rPh>
    <rPh sb="110" eb="111">
      <t>モノ</t>
    </rPh>
    <rPh sb="112" eb="113">
      <t>サ</t>
    </rPh>
    <phoneticPr fontId="1"/>
  </si>
  <si>
    <t>加算要件
（１～３の要件全てに該当する場合に加算）</t>
    <rPh sb="0" eb="2">
      <t>カサン</t>
    </rPh>
    <rPh sb="2" eb="4">
      <t>ヨウケン</t>
    </rPh>
    <phoneticPr fontId="1"/>
  </si>
  <si>
    <t>　一般型一時預かり事業
（子ども・子育て支援交付金の交付に係る要件に適合しており、かつ、月の平均対象子どもが１人以上いるもの※１。私学助成の子育て支援活動の推進等により行う未就園児の保育、幼稚園型一時預かり事業により行う非在園児の預かり及びこれらと同等の要件を満たして実施しているものを含む。※２）</t>
    <phoneticPr fontId="1"/>
  </si>
  <si>
    <t>　幼稚園型一時預かり事業
（子ども・子育て支援交付金の交付に係る要件に適合しており、かつ、月の平均対象子どもが１人以上いるもの※１。私学助成の預かり保育推進事業、幼稚園長時間預かり保育支援事業等により行う預かり保育を含む。※２）</t>
    <phoneticPr fontId="1"/>
  </si>
  <si>
    <t>４歳以上児配置改善加算</t>
    <phoneticPr fontId="1"/>
  </si>
  <si>
    <t>　本様式はExcel for Microsoft 365（Microsoft社）で作成しておりますので、Excel for Microsoft 365での作成を推奨します。このため、Excel for Microsoft 365以外のバージョン（2021、2019、2016等）及びMicrosoft社製以外の表計算ソフト（Kingsoft、Numbers等）での動作は保証いたしません。</t>
    <phoneticPr fontId="1"/>
  </si>
  <si>
    <t>北栄幼稚園</t>
    <rPh sb="0" eb="2">
      <t>ホクエイ</t>
    </rPh>
    <rPh sb="2" eb="5">
      <t>ヨウチエン</t>
    </rPh>
    <phoneticPr fontId="1"/>
  </si>
  <si>
    <t>平和幼稚園</t>
    <rPh sb="0" eb="2">
      <t>ヘイワ</t>
    </rPh>
    <rPh sb="2" eb="5">
      <t>ヨウチエン</t>
    </rPh>
    <phoneticPr fontId="1"/>
  </si>
  <si>
    <t>③　以下の（1）～（2）のいずれかが施設で実施されていることが分かる書面又はホームページの写し。園の掲示物の場合は掲示状況等がわかる説明文書及び写真を添付すること。
（1）障がい児・相談支援に係る給付事業(※)への連携により専門性の強化・障がい支援充実
　相談票や事務分掌表、パンフレット等により、※の支援施策との連携・接続が明示されていること。年度内に実施が予定されている場合は、年度当初から実施されているものみなす
　※　通所系(児童発達支援、医療型児童発達支援、放課後等デイサービス)、訪問系(保育所等訪問支援)、入所系(福祉型障害児入所施設、医療型障害児入所施設）、相談支援系（計画相談支援、障害児相談支援）
（2）障がい児に係る子育て等に関する相談・援助
　園外の障がい児童等も受け付けていることが明示されていること。また、加算対象月初日から受付けていることが明示されていること</t>
    <rPh sb="100" eb="102">
      <t>ジギョウ</t>
    </rPh>
    <phoneticPr fontId="1"/>
  </si>
  <si>
    <t>編成・実施している</t>
    <rPh sb="0" eb="2">
      <t>ヘンセイ</t>
    </rPh>
    <rPh sb="3" eb="5">
      <t>ジッシ</t>
    </rPh>
    <phoneticPr fontId="1"/>
  </si>
  <si>
    <t>編成中</t>
    <rPh sb="0" eb="2">
      <t>ヘンセイ</t>
    </rPh>
    <rPh sb="2" eb="3">
      <t>チュウ</t>
    </rPh>
    <phoneticPr fontId="1"/>
  </si>
  <si>
    <t>4　4歳以上児配置改善加算</t>
    <rPh sb="3" eb="4">
      <t>サイ</t>
    </rPh>
    <rPh sb="4" eb="6">
      <t>イジョウ</t>
    </rPh>
    <rPh sb="6" eb="7">
      <t>ジ</t>
    </rPh>
    <rPh sb="7" eb="9">
      <t>ハイチ</t>
    </rPh>
    <rPh sb="9" eb="11">
      <t>カイゼン</t>
    </rPh>
    <rPh sb="11" eb="13">
      <t>カサン</t>
    </rPh>
    <phoneticPr fontId="1"/>
  </si>
  <si>
    <t>5　満3歳児配置改善加算</t>
    <rPh sb="2" eb="3">
      <t>マン</t>
    </rPh>
    <rPh sb="4" eb="6">
      <t>サイジ</t>
    </rPh>
    <rPh sb="6" eb="8">
      <t>ハイチ</t>
    </rPh>
    <rPh sb="8" eb="10">
      <t>カイゼン</t>
    </rPh>
    <rPh sb="10" eb="12">
      <t>カサン</t>
    </rPh>
    <phoneticPr fontId="1"/>
  </si>
  <si>
    <t>6　講師配置加算</t>
    <rPh sb="2" eb="4">
      <t>コウシ</t>
    </rPh>
    <rPh sb="4" eb="6">
      <t>ハイチ</t>
    </rPh>
    <rPh sb="6" eb="8">
      <t>カサン</t>
    </rPh>
    <phoneticPr fontId="1"/>
  </si>
  <si>
    <t>7　チーム保育加配加算</t>
    <rPh sb="5" eb="7">
      <t>ホイク</t>
    </rPh>
    <rPh sb="7" eb="9">
      <t>カハイ</t>
    </rPh>
    <rPh sb="9" eb="11">
      <t>カサン</t>
    </rPh>
    <phoneticPr fontId="1"/>
  </si>
  <si>
    <t>8　通園送迎加算</t>
    <rPh sb="2" eb="4">
      <t>ツウエン</t>
    </rPh>
    <rPh sb="4" eb="6">
      <t>ソウゲイ</t>
    </rPh>
    <rPh sb="6" eb="8">
      <t>カサン</t>
    </rPh>
    <phoneticPr fontId="1"/>
  </si>
  <si>
    <t>9　給食実施加算（１号）</t>
    <rPh sb="2" eb="4">
      <t>キュウショク</t>
    </rPh>
    <rPh sb="4" eb="6">
      <t>ジッシ</t>
    </rPh>
    <rPh sb="6" eb="8">
      <t>カサン</t>
    </rPh>
    <rPh sb="10" eb="11">
      <t>ゴウ</t>
    </rPh>
    <phoneticPr fontId="1"/>
  </si>
  <si>
    <t>10　副食費徴収免除加算（１号）</t>
    <rPh sb="3" eb="6">
      <t>フクショクヒ</t>
    </rPh>
    <rPh sb="6" eb="8">
      <t>チョウシュウ</t>
    </rPh>
    <rPh sb="8" eb="10">
      <t>メンジョ</t>
    </rPh>
    <rPh sb="10" eb="12">
      <t>カサン</t>
    </rPh>
    <rPh sb="14" eb="15">
      <t>ゴウ</t>
    </rPh>
    <phoneticPr fontId="1"/>
  </si>
  <si>
    <t>11　年齢別配置基準を下回る場合</t>
    <rPh sb="3" eb="5">
      <t>ネンレイ</t>
    </rPh>
    <rPh sb="5" eb="6">
      <t>ベツ</t>
    </rPh>
    <rPh sb="6" eb="8">
      <t>ハイチ</t>
    </rPh>
    <rPh sb="8" eb="10">
      <t>キジュン</t>
    </rPh>
    <rPh sb="11" eb="13">
      <t>シタマワ</t>
    </rPh>
    <rPh sb="14" eb="16">
      <t>バアイ</t>
    </rPh>
    <phoneticPr fontId="1"/>
  </si>
  <si>
    <t>12　定員を恒常的に超過する場合</t>
    <rPh sb="3" eb="5">
      <t>テイイン</t>
    </rPh>
    <rPh sb="6" eb="9">
      <t>コウジョウテキ</t>
    </rPh>
    <rPh sb="10" eb="12">
      <t>チョウカ</t>
    </rPh>
    <rPh sb="14" eb="16">
      <t>バアイ</t>
    </rPh>
    <phoneticPr fontId="1"/>
  </si>
  <si>
    <t>13　主幹教諭等専任加算</t>
    <rPh sb="3" eb="5">
      <t>シュカン</t>
    </rPh>
    <rPh sb="5" eb="7">
      <t>キョウユ</t>
    </rPh>
    <rPh sb="7" eb="8">
      <t>トウ</t>
    </rPh>
    <rPh sb="8" eb="10">
      <t>センニン</t>
    </rPh>
    <rPh sb="10" eb="12">
      <t>カサン</t>
    </rPh>
    <phoneticPr fontId="1"/>
  </si>
  <si>
    <t>14　子育て支援活動費加算</t>
    <rPh sb="3" eb="5">
      <t>コソダ</t>
    </rPh>
    <rPh sb="6" eb="8">
      <t>シエン</t>
    </rPh>
    <rPh sb="8" eb="10">
      <t>カツドウ</t>
    </rPh>
    <rPh sb="10" eb="11">
      <t>ヒ</t>
    </rPh>
    <rPh sb="11" eb="13">
      <t>カサン</t>
    </rPh>
    <phoneticPr fontId="1"/>
  </si>
  <si>
    <t>15　療育支援加算</t>
    <rPh sb="3" eb="5">
      <t>リョウイク</t>
    </rPh>
    <rPh sb="5" eb="7">
      <t>シエン</t>
    </rPh>
    <rPh sb="7" eb="9">
      <t>カサン</t>
    </rPh>
    <phoneticPr fontId="1"/>
  </si>
  <si>
    <t>16　事務職員配置加算</t>
    <rPh sb="3" eb="5">
      <t>ジム</t>
    </rPh>
    <rPh sb="5" eb="7">
      <t>ショクイン</t>
    </rPh>
    <rPh sb="7" eb="9">
      <t>ハイチ</t>
    </rPh>
    <rPh sb="9" eb="11">
      <t>カサン</t>
    </rPh>
    <phoneticPr fontId="1"/>
  </si>
  <si>
    <t>17　指導充実加配加算</t>
    <rPh sb="3" eb="5">
      <t>シドウ</t>
    </rPh>
    <rPh sb="5" eb="7">
      <t>ジュウジツ</t>
    </rPh>
    <rPh sb="7" eb="9">
      <t>カハイ</t>
    </rPh>
    <rPh sb="9" eb="11">
      <t>カサン</t>
    </rPh>
    <phoneticPr fontId="1"/>
  </si>
  <si>
    <t>18　事務負担対応加配加算</t>
    <rPh sb="3" eb="5">
      <t>ジム</t>
    </rPh>
    <rPh sb="5" eb="7">
      <t>フタン</t>
    </rPh>
    <rPh sb="7" eb="9">
      <t>タイオウ</t>
    </rPh>
    <rPh sb="9" eb="11">
      <t>カハイ</t>
    </rPh>
    <rPh sb="11" eb="13">
      <t>カサン</t>
    </rPh>
    <phoneticPr fontId="1"/>
  </si>
  <si>
    <r>
      <rPr>
        <b/>
        <sz val="9"/>
        <color theme="1"/>
        <rFont val="ＭＳ Ｐゴシック"/>
        <family val="3"/>
        <charset val="128"/>
        <scheme val="minor"/>
      </rPr>
      <t xml:space="preserve">＜【様式１】総括表・個票＞
</t>
    </r>
    <r>
      <rPr>
        <sz val="9"/>
        <color theme="1"/>
        <rFont val="ＭＳ Ｐゴシック"/>
        <family val="3"/>
        <charset val="128"/>
        <scheme val="minor"/>
      </rPr>
      <t xml:space="preserve">主幹教諭等専任加算の小学校接続要件について新たに選択項目を設け「編成・実施している、編成中、×」を選択することとした
</t>
    </r>
    <r>
      <rPr>
        <b/>
        <sz val="9"/>
        <color theme="1"/>
        <rFont val="ＭＳ Ｐゴシック"/>
        <family val="3"/>
        <charset val="128"/>
        <scheme val="minor"/>
      </rPr>
      <t xml:space="preserve">＜【様式２】職員名簿＞
</t>
    </r>
    <r>
      <rPr>
        <sz val="9"/>
        <color theme="1"/>
        <rFont val="ＭＳ Ｐゴシック"/>
        <family val="3"/>
        <charset val="128"/>
        <scheme val="minor"/>
      </rPr>
      <t>初日時点の契約状況から「代替（助成金等対象）」を選択項目から消去</t>
    </r>
    <rPh sb="14" eb="16">
      <t>シュカン</t>
    </rPh>
    <rPh sb="16" eb="18">
      <t>キョウユ</t>
    </rPh>
    <rPh sb="18" eb="19">
      <t>ナド</t>
    </rPh>
    <rPh sb="19" eb="21">
      <t>センニン</t>
    </rPh>
    <rPh sb="21" eb="23">
      <t>カサン</t>
    </rPh>
    <rPh sb="24" eb="27">
      <t>ショウガッコウ</t>
    </rPh>
    <rPh sb="27" eb="29">
      <t>セツゾク</t>
    </rPh>
    <rPh sb="29" eb="31">
      <t>ヨウケン</t>
    </rPh>
    <rPh sb="35" eb="36">
      <t>アラ</t>
    </rPh>
    <rPh sb="38" eb="40">
      <t>センタク</t>
    </rPh>
    <rPh sb="40" eb="42">
      <t>コウモク</t>
    </rPh>
    <rPh sb="43" eb="44">
      <t>モウ</t>
    </rPh>
    <rPh sb="46" eb="48">
      <t>ヘンセイ</t>
    </rPh>
    <rPh sb="49" eb="51">
      <t>ジッシ</t>
    </rPh>
    <rPh sb="56" eb="58">
      <t>ヘンセイ</t>
    </rPh>
    <rPh sb="58" eb="59">
      <t>チュウ</t>
    </rPh>
    <rPh sb="63" eb="65">
      <t>センタク</t>
    </rPh>
    <rPh sb="78" eb="80">
      <t>ショクイン</t>
    </rPh>
    <rPh sb="80" eb="82">
      <t>メイボ</t>
    </rPh>
    <rPh sb="84" eb="86">
      <t>ショニチ</t>
    </rPh>
    <rPh sb="86" eb="88">
      <t>ジテン</t>
    </rPh>
    <rPh sb="89" eb="91">
      <t>ケイヤク</t>
    </rPh>
    <rPh sb="91" eb="93">
      <t>ジョウキョウ</t>
    </rPh>
    <rPh sb="96" eb="98">
      <t>ダイタイ</t>
    </rPh>
    <rPh sb="99" eb="101">
      <t>ジョセイ</t>
    </rPh>
    <rPh sb="101" eb="102">
      <t>キン</t>
    </rPh>
    <rPh sb="102" eb="103">
      <t>ナド</t>
    </rPh>
    <rPh sb="103" eb="105">
      <t>タイショウ</t>
    </rPh>
    <rPh sb="108" eb="110">
      <t>センタク</t>
    </rPh>
    <rPh sb="110" eb="112">
      <t>コウモク</t>
    </rPh>
    <rPh sb="114" eb="116">
      <t>ショウキョ</t>
    </rPh>
    <phoneticPr fontId="1"/>
  </si>
  <si>
    <t>振替休日（元日）</t>
  </si>
  <si>
    <t>振替休日（憲法記念日）</t>
    <rPh sb="0" eb="4">
      <t>フリカエキュウジツ</t>
    </rPh>
    <phoneticPr fontId="1"/>
  </si>
  <si>
    <t>国民の休日</t>
    <rPh sb="0" eb="2">
      <t>コクミン</t>
    </rPh>
    <rPh sb="3" eb="5">
      <t>キュウジツ</t>
    </rPh>
    <phoneticPr fontId="1"/>
  </si>
  <si>
    <t>処遇改善等加算</t>
    <rPh sb="0" eb="2">
      <t>ショグウ</t>
    </rPh>
    <rPh sb="2" eb="4">
      <t>カイゼン</t>
    </rPh>
    <rPh sb="4" eb="5">
      <t>トウ</t>
    </rPh>
    <rPh sb="5" eb="7">
      <t>カサン</t>
    </rPh>
    <phoneticPr fontId="1"/>
  </si>
  <si>
    <t>1　処遇改善等加算</t>
    <rPh sb="2" eb="4">
      <t>ショグウ</t>
    </rPh>
    <rPh sb="4" eb="6">
      <t>カイゼン</t>
    </rPh>
    <rPh sb="6" eb="7">
      <t>トウ</t>
    </rPh>
    <rPh sb="7" eb="9">
      <t>カサン</t>
    </rPh>
    <phoneticPr fontId="1"/>
  </si>
  <si>
    <t>19　栄養管理加算</t>
    <rPh sb="3" eb="5">
      <t>エイヨウ</t>
    </rPh>
    <rPh sb="5" eb="7">
      <t>カンリ</t>
    </rPh>
    <rPh sb="7" eb="9">
      <t>カサン</t>
    </rPh>
    <phoneticPr fontId="1"/>
  </si>
  <si>
    <t>⑦</t>
    <phoneticPr fontId="1"/>
  </si>
  <si>
    <t>災害等により、教育・保育が提供できない場合に、教育・保育を必要とするエッセンシャルワーカーである保護者に対する連絡、被災状況の把握、勤務状況に応じたこどもの預かりに関する相談及び代替保育先や預かり先の確保に向けた行政や関係機関との連携等を行うために必要となる緊急時の対応の具体的内容及び手順、職員の役割分担、避難訓練計画等に関するマニュアル等の整備並びに毎月１回程度の研修・訓練の実施等を行う取組を実施している</t>
    <rPh sb="0" eb="2">
      <t>サイガイ</t>
    </rPh>
    <rPh sb="2" eb="3">
      <t>ナド</t>
    </rPh>
    <rPh sb="7" eb="9">
      <t>キョウイク</t>
    </rPh>
    <rPh sb="10" eb="12">
      <t>ホイク</t>
    </rPh>
    <rPh sb="13" eb="15">
      <t>テイキョウ</t>
    </rPh>
    <rPh sb="19" eb="21">
      <t>バアイ</t>
    </rPh>
    <rPh sb="23" eb="25">
      <t>キョウイク</t>
    </rPh>
    <rPh sb="26" eb="28">
      <t>ホイク</t>
    </rPh>
    <rPh sb="29" eb="31">
      <t>ヒツヨウ</t>
    </rPh>
    <rPh sb="48" eb="51">
      <t>ホゴシャ</t>
    </rPh>
    <rPh sb="52" eb="53">
      <t>タイ</t>
    </rPh>
    <rPh sb="55" eb="57">
      <t>レンラク</t>
    </rPh>
    <rPh sb="58" eb="60">
      <t>ヒサイ</t>
    </rPh>
    <rPh sb="60" eb="62">
      <t>ジョウキョウ</t>
    </rPh>
    <rPh sb="63" eb="65">
      <t>ハアク</t>
    </rPh>
    <rPh sb="66" eb="70">
      <t>キンムジョウキョウ</t>
    </rPh>
    <rPh sb="71" eb="72">
      <t>オウ</t>
    </rPh>
    <rPh sb="78" eb="79">
      <t>アズ</t>
    </rPh>
    <rPh sb="82" eb="83">
      <t>カン</t>
    </rPh>
    <rPh sb="85" eb="87">
      <t>ソウダン</t>
    </rPh>
    <rPh sb="87" eb="88">
      <t>オヨ</t>
    </rPh>
    <rPh sb="89" eb="91">
      <t>ダイタイ</t>
    </rPh>
    <phoneticPr fontId="1"/>
  </si>
  <si>
    <t>⑤　事業要件のうち⑦に該当する場合は、該当していることを証明する緊急時の対応に関するマニュアル等、毎月１回程度の研修・訓練の実施等を行う取組を行っていることを証明する資料を添付すること。</t>
    <rPh sb="2" eb="6">
      <t>ジギョウヨウケン</t>
    </rPh>
    <rPh sb="11" eb="13">
      <t>ガイトウ</t>
    </rPh>
    <rPh sb="15" eb="17">
      <t>バアイ</t>
    </rPh>
    <rPh sb="19" eb="21">
      <t>ガイトウ</t>
    </rPh>
    <rPh sb="28" eb="30">
      <t>ショウメイ</t>
    </rPh>
    <rPh sb="32" eb="35">
      <t>キンキュウジ</t>
    </rPh>
    <rPh sb="36" eb="38">
      <t>タイオウ</t>
    </rPh>
    <rPh sb="39" eb="40">
      <t>カン</t>
    </rPh>
    <rPh sb="47" eb="48">
      <t>ナド</t>
    </rPh>
    <phoneticPr fontId="1"/>
  </si>
  <si>
    <t>④　事業要件のうち6に該当する場合は、園内研修の企画書と実施内容が確認できる書類を提出すること</t>
    <phoneticPr fontId="1"/>
  </si>
  <si>
    <t>食事の提供に当たり、栄養士又は管理栄養士（以下「栄養士等」という。）を活用してアレルギー、アトピー等への助言、食育等に関する継続的な指導を受けている(産休等で不在の場合は×)</t>
    <rPh sb="0" eb="2">
      <t>ショクジ</t>
    </rPh>
    <rPh sb="3" eb="5">
      <t>テイキョウ</t>
    </rPh>
    <rPh sb="6" eb="7">
      <t>ア</t>
    </rPh>
    <rPh sb="10" eb="13">
      <t>エイヨウシ</t>
    </rPh>
    <rPh sb="35" eb="37">
      <t>カツヨウ</t>
    </rPh>
    <rPh sb="49" eb="50">
      <t>トウ</t>
    </rPh>
    <rPh sb="52" eb="54">
      <t>ジョゲン</t>
    </rPh>
    <rPh sb="55" eb="57">
      <t>ショクイク</t>
    </rPh>
    <rPh sb="57" eb="58">
      <t>トウ</t>
    </rPh>
    <rPh sb="59" eb="60">
      <t>カン</t>
    </rPh>
    <rPh sb="62" eb="65">
      <t>ケイゾクテキ</t>
    </rPh>
    <rPh sb="66" eb="68">
      <t>シドウ</t>
    </rPh>
    <rPh sb="69" eb="70">
      <t>ウ</t>
    </rPh>
    <phoneticPr fontId="1"/>
  </si>
  <si>
    <t>栄養士等を配置している(以下の①又は②を記入すること)※</t>
    <rPh sb="0" eb="3">
      <t>エイヨウシ</t>
    </rPh>
    <rPh sb="3" eb="4">
      <t>ナド</t>
    </rPh>
    <rPh sb="5" eb="7">
      <t>ハイチ</t>
    </rPh>
    <rPh sb="12" eb="14">
      <t>イカ</t>
    </rPh>
    <rPh sb="16" eb="17">
      <t>マタ</t>
    </rPh>
    <rPh sb="20" eb="22">
      <t>キニュウ</t>
    </rPh>
    <phoneticPr fontId="1"/>
  </si>
  <si>
    <t>②　栄養士等の資格証の写し</t>
    <rPh sb="2" eb="5">
      <t>エイヨウシ</t>
    </rPh>
    <rPh sb="5" eb="6">
      <t>ナド</t>
    </rPh>
    <rPh sb="7" eb="9">
      <t>シカク</t>
    </rPh>
    <rPh sb="9" eb="10">
      <t>ショウ</t>
    </rPh>
    <rPh sb="11" eb="12">
      <t>ウツ</t>
    </rPh>
    <phoneticPr fontId="1"/>
  </si>
  <si>
    <t>④　事業要件2‐②に該当する場合、栄養士等の活用・配置状況がわかる挙証書類</t>
    <rPh sb="2" eb="4">
      <t>ジギョウ</t>
    </rPh>
    <rPh sb="4" eb="6">
      <t>ヨウケン</t>
    </rPh>
    <rPh sb="10" eb="12">
      <t>ガイトウ</t>
    </rPh>
    <rPh sb="14" eb="16">
      <t>バアイ</t>
    </rPh>
    <rPh sb="17" eb="20">
      <t>エイヨウシ</t>
    </rPh>
    <rPh sb="20" eb="21">
      <t>ナド</t>
    </rPh>
    <rPh sb="22" eb="24">
      <t>カツヨウ</t>
    </rPh>
    <rPh sb="25" eb="27">
      <t>ハイチ</t>
    </rPh>
    <rPh sb="27" eb="29">
      <t>ジョウキョウ</t>
    </rPh>
    <rPh sb="33" eb="35">
      <t>キョショウ</t>
    </rPh>
    <rPh sb="35" eb="37">
      <t>ショルイ</t>
    </rPh>
    <phoneticPr fontId="1"/>
  </si>
  <si>
    <t>本加算に係る栄養士等が雇用契約等により配置されている場合（兼務に該当する場合を除く）</t>
    <rPh sb="0" eb="1">
      <t>ホン</t>
    </rPh>
    <rPh sb="1" eb="3">
      <t>カサン</t>
    </rPh>
    <rPh sb="4" eb="5">
      <t>カカ</t>
    </rPh>
    <rPh sb="6" eb="9">
      <t>エイヨウシ</t>
    </rPh>
    <rPh sb="9" eb="10">
      <t>ナド</t>
    </rPh>
    <rPh sb="11" eb="13">
      <t>コヨウ</t>
    </rPh>
    <rPh sb="13" eb="15">
      <t>ケイヤク</t>
    </rPh>
    <rPh sb="15" eb="16">
      <t>トウ</t>
    </rPh>
    <rPh sb="19" eb="21">
      <t>ハイチ</t>
    </rPh>
    <rPh sb="26" eb="28">
      <t>バアイ</t>
    </rPh>
    <rPh sb="29" eb="31">
      <t>ケンム</t>
    </rPh>
    <rPh sb="32" eb="34">
      <t>ガイトウ</t>
    </rPh>
    <rPh sb="36" eb="38">
      <t>バアイ</t>
    </rPh>
    <rPh sb="39" eb="40">
      <t>ノゾ</t>
    </rPh>
    <phoneticPr fontId="1"/>
  </si>
  <si>
    <t>上記以外で、本加算に係る栄養士等としての業務を嘱託等する場合</t>
    <rPh sb="0" eb="2">
      <t>ジョウキ</t>
    </rPh>
    <rPh sb="2" eb="4">
      <t>イガイ</t>
    </rPh>
    <rPh sb="6" eb="7">
      <t>ホン</t>
    </rPh>
    <rPh sb="7" eb="9">
      <t>カサン</t>
    </rPh>
    <rPh sb="10" eb="11">
      <t>カカ</t>
    </rPh>
    <rPh sb="12" eb="15">
      <t>エイヨウシ</t>
    </rPh>
    <rPh sb="15" eb="16">
      <t>ナド</t>
    </rPh>
    <rPh sb="20" eb="22">
      <t>ギョウム</t>
    </rPh>
    <rPh sb="23" eb="25">
      <t>ショクタク</t>
    </rPh>
    <rPh sb="25" eb="26">
      <t>トウ</t>
    </rPh>
    <rPh sb="28" eb="30">
      <t>バアイ</t>
    </rPh>
    <phoneticPr fontId="1"/>
  </si>
  <si>
    <t>栄養士等</t>
    <rPh sb="0" eb="3">
      <t>エイヨウシ</t>
    </rPh>
    <rPh sb="3" eb="4">
      <t>ナド</t>
    </rPh>
    <phoneticPr fontId="1"/>
  </si>
  <si>
    <t>栄養士等（委託）</t>
    <rPh sb="0" eb="3">
      <t>エイヨウシ</t>
    </rPh>
    <rPh sb="3" eb="4">
      <t>ナド</t>
    </rPh>
    <rPh sb="5" eb="7">
      <t>イタク</t>
    </rPh>
    <phoneticPr fontId="1"/>
  </si>
  <si>
    <t>③　「処遇改善等加算」と「３月のみ加算」は別途、所定の様式により申請を確認します。</t>
    <phoneticPr fontId="1"/>
  </si>
  <si>
    <t>インターナショナル山の手幼稚園</t>
  </si>
  <si>
    <t>宮ノ丘幼稚園</t>
  </si>
  <si>
    <r>
      <rPr>
        <b/>
        <sz val="9"/>
        <color rgb="FFFF0000"/>
        <rFont val="ＭＳ ゴシック"/>
        <family val="3"/>
        <charset val="128"/>
      </rPr>
      <t>←</t>
    </r>
    <r>
      <rPr>
        <b/>
        <sz val="9"/>
        <rFont val="ＭＳ ゴシック"/>
        <family val="3"/>
        <charset val="128"/>
      </rPr>
      <t>申請書（エクセル）の名前はこちらをコピーして使用してください。</t>
    </r>
    <rPh sb="1" eb="4">
      <t>シンセイショ</t>
    </rPh>
    <rPh sb="11" eb="13">
      <t>ナマエ</t>
    </rPh>
    <rPh sb="23" eb="25">
      <t>シヨウ</t>
    </rPh>
    <phoneticPr fontId="74"/>
  </si>
  <si>
    <r>
      <rPr>
        <b/>
        <sz val="9"/>
        <color theme="1"/>
        <rFont val="ＭＳ Ｐゴシック"/>
        <family val="3"/>
        <charset val="128"/>
        <scheme val="minor"/>
      </rPr>
      <t>＜作成方法＞</t>
    </r>
    <r>
      <rPr>
        <sz val="9"/>
        <color theme="1"/>
        <rFont val="ＭＳ Ｐゴシック"/>
        <family val="3"/>
        <charset val="128"/>
        <scheme val="minor"/>
      </rPr>
      <t xml:space="preserve">
説明書きの「作成ソフト」及び「参考資料」を更新
</t>
    </r>
    <r>
      <rPr>
        <b/>
        <sz val="9"/>
        <color theme="1"/>
        <rFont val="ＭＳ Ｐゴシック"/>
        <family val="3"/>
        <charset val="128"/>
        <scheme val="minor"/>
      </rPr>
      <t>＜【様式１】総括表・個票＞</t>
    </r>
    <r>
      <rPr>
        <sz val="9"/>
        <color theme="1"/>
        <rFont val="ＭＳ Ｐゴシック"/>
        <family val="3"/>
        <charset val="128"/>
        <scheme val="minor"/>
      </rPr>
      <t xml:space="preserve">
「3 4歳以上児配置改善加算」
制度変更に伴い追加
「14 主任保育士専任加算」内
クラス担任を兼務していないことの確認欄追加
「14 主任保育士専任加算」内
乳児要件の緩和部分・挙証書類の添付に係る案内を追加
「16 事務職員雇上費加算」内
乳児要件の緩和部分・挙証書類の添付に係る案内を追加
</t>
    </r>
    <r>
      <rPr>
        <b/>
        <sz val="9"/>
        <color theme="1"/>
        <rFont val="ＭＳ Ｐゴシック"/>
        <family val="3"/>
        <charset val="128"/>
        <scheme val="minor"/>
      </rPr>
      <t>〈【様式2】職員名簿〉</t>
    </r>
    <r>
      <rPr>
        <sz val="9"/>
        <color theme="1"/>
        <rFont val="ＭＳ Ｐゴシック"/>
        <family val="3"/>
        <charset val="128"/>
        <scheme val="minor"/>
      </rPr>
      <t xml:space="preserve">
職員氏名が重複した際にピンク色セルになるように書式変更
</t>
    </r>
    <r>
      <rPr>
        <b/>
        <sz val="9"/>
        <color theme="1"/>
        <rFont val="ＭＳ Ｐゴシック"/>
        <family val="3"/>
        <charset val="128"/>
        <scheme val="minor"/>
      </rPr>
      <t>〈【様式5】職員数算出表〉</t>
    </r>
    <r>
      <rPr>
        <sz val="9"/>
        <color theme="1"/>
        <rFont val="ＭＳ Ｐゴシック"/>
        <family val="3"/>
        <charset val="128"/>
        <scheme val="minor"/>
      </rPr>
      <t xml:space="preserve">
4歳以上児配置改善加算追加により「2 加算・減算・補助金等」及び「4 必須職員数」をそれぞれ更新
</t>
    </r>
    <r>
      <rPr>
        <b/>
        <sz val="9"/>
        <color theme="1"/>
        <rFont val="ＭＳ Ｐゴシック"/>
        <family val="3"/>
        <charset val="128"/>
        <scheme val="minor"/>
      </rPr>
      <t>〈【様式6】加算確認表〉</t>
    </r>
    <r>
      <rPr>
        <sz val="9"/>
        <color theme="1"/>
        <rFont val="ＭＳ Ｐゴシック"/>
        <family val="3"/>
        <charset val="128"/>
        <scheme val="minor"/>
      </rPr>
      <t xml:space="preserve">
4歳以上児配置改善加算追加</t>
    </r>
    <phoneticPr fontId="1"/>
  </si>
  <si>
    <r>
      <rPr>
        <b/>
        <sz val="9"/>
        <color theme="1"/>
        <rFont val="ＭＳ Ｐゴシック"/>
        <family val="3"/>
        <charset val="128"/>
        <scheme val="minor"/>
      </rPr>
      <t>＜【様式１】総括表・個票＞</t>
    </r>
    <r>
      <rPr>
        <sz val="9"/>
        <color theme="1"/>
        <rFont val="ＭＳ Ｐゴシック"/>
        <family val="3"/>
        <charset val="128"/>
        <scheme val="minor"/>
      </rPr>
      <t xml:space="preserve">
・処遇改善等加算を一本化
・栄養士を栄養士等に変更
・主任保育士等専任化加算の実施要件に要件を追加
</t>
    </r>
    <r>
      <rPr>
        <b/>
        <sz val="9"/>
        <color theme="1"/>
        <rFont val="ＭＳ Ｐゴシック"/>
        <family val="3"/>
        <charset val="128"/>
        <scheme val="minor"/>
      </rPr>
      <t>＜【様式2】職員名簿＞</t>
    </r>
    <r>
      <rPr>
        <sz val="9"/>
        <color theme="1"/>
        <rFont val="ＭＳ Ｐゴシック"/>
        <family val="3"/>
        <charset val="128"/>
        <scheme val="minor"/>
      </rPr>
      <t xml:space="preserve">
・栄養士を栄養士等に変更
</t>
    </r>
    <r>
      <rPr>
        <b/>
        <sz val="9"/>
        <color theme="1"/>
        <rFont val="ＭＳ Ｐゴシック"/>
        <family val="3"/>
        <charset val="128"/>
        <scheme val="minor"/>
      </rPr>
      <t>＜【様式５】職員数算出表＞</t>
    </r>
    <r>
      <rPr>
        <sz val="9"/>
        <color theme="1"/>
        <rFont val="ＭＳ Ｐゴシック"/>
        <family val="3"/>
        <charset val="128"/>
        <scheme val="minor"/>
      </rPr>
      <t xml:space="preserve">
・栄養士を栄養士等に変更
</t>
    </r>
    <r>
      <rPr>
        <b/>
        <sz val="9"/>
        <color theme="1"/>
        <rFont val="ＭＳ Ｐゴシック"/>
        <family val="3"/>
        <charset val="128"/>
        <scheme val="minor"/>
      </rPr>
      <t>＜【様式6】加算確認表＞</t>
    </r>
    <r>
      <rPr>
        <sz val="9"/>
        <color theme="1"/>
        <rFont val="ＭＳ Ｐゴシック"/>
        <family val="3"/>
        <charset val="128"/>
        <scheme val="minor"/>
      </rPr>
      <t xml:space="preserve">
・処遇改善等加算を一本化</t>
    </r>
    <rPh sb="41" eb="43">
      <t>シュニン</t>
    </rPh>
    <rPh sb="43" eb="46">
      <t>ホイクシ</t>
    </rPh>
    <rPh sb="46" eb="47">
      <t>ナド</t>
    </rPh>
    <rPh sb="47" eb="50">
      <t>センニンカ</t>
    </rPh>
    <phoneticPr fontId="1"/>
  </si>
  <si>
    <t>3月加算については、12月頃（締切は12月末）に3月加算用申請書を依頼いたします。</t>
    <rPh sb="1" eb="2">
      <t>ガツ</t>
    </rPh>
    <rPh sb="2" eb="4">
      <t>カサン</t>
    </rPh>
    <rPh sb="12" eb="13">
      <t>ガツ</t>
    </rPh>
    <rPh sb="13" eb="14">
      <t>コロ</t>
    </rPh>
    <rPh sb="15" eb="17">
      <t>シメキリ</t>
    </rPh>
    <rPh sb="20" eb="21">
      <t>ガツ</t>
    </rPh>
    <rPh sb="21" eb="22">
      <t>スエ</t>
    </rPh>
    <rPh sb="25" eb="26">
      <t>ガツ</t>
    </rPh>
    <rPh sb="26" eb="28">
      <t>カサン</t>
    </rPh>
    <rPh sb="28" eb="29">
      <t>ヨウ</t>
    </rPh>
    <rPh sb="29" eb="32">
      <t>シンセイショ</t>
    </rPh>
    <rPh sb="33" eb="35">
      <t>イライ</t>
    </rPh>
    <phoneticPr fontId="1"/>
  </si>
  <si>
    <t xml:space="preserve"> ・　国通知「特定教育・保育等に要する費用の額の算定に関する基準等の改正に伴う実施上の留意事項について」（令和７年４月11日改正）
こども家庭庁HP：https://www.cfa.go.jp/policies/kokoseido/</t>
    <phoneticPr fontId="1"/>
  </si>
  <si>
    <t>③　以下いずれかの取り組みがわかる書類
・献立への助言
　文責が栄養士等本人のものであるとわかるもの。作成した献立の月から年度を通じて加算適用
・アレルギー、アトピーへの助言
　栄養士等が行った面談記録票。面談を実施した月から年度を通じて加算適用。
・食育計画書に基づいた継続的な指導
　文責が栄養士等本人のものである食育計画書。年度を通して作成された計画書がある場合は、年度を通じて加算を適用。食育だよりは不可。</t>
    <rPh sb="35" eb="36">
      <t>ナド</t>
    </rPh>
    <rPh sb="36" eb="38">
      <t>ホンニン</t>
    </rPh>
    <rPh sb="92" eb="93">
      <t>ナド</t>
    </rPh>
    <rPh sb="150" eb="151">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</si>
</sst>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176" formatCode="#&quot;人&quot;"/>
    <numFmt numFmtId="177" formatCode="#,##0.0&quot;人&quot;"/>
    <numFmt numFmtId="178" formatCode="#0.00&quot;時&quot;&quot;間&quot;"/>
    <numFmt numFmtId="179" formatCode="[$-F800]dddd\,\ mmmm\ dd\,\ yyyy"/>
    <numFmt numFmtId="180" formatCode="0.0"/>
    <numFmt numFmtId="181" formatCode="##&quot;月&quot;"/>
    <numFmt numFmtId="182" formatCode="#,##0&quot;時間&quot;"/>
    <numFmt numFmtId="183" formatCode="#,##0.0_ "/>
    <numFmt numFmtId="184" formatCode="#,##0&quot;人&quot;"/>
    <numFmt numFmtId="185" formatCode="#&quot;%&quot;"/>
    <numFmt numFmtId="186" formatCode="0.0&quot;人&quot;"/>
    <numFmt numFmtId="187" formatCode="#0&quot;人&quot;"/>
    <numFmt numFmtId="188" formatCode="#,##0_ "/>
    <numFmt numFmtId="189" formatCode="General&quot;年&quot;&quot;度&quot;"/>
    <numFmt numFmtId="190" formatCode="m&quot;月&quot;"/>
    <numFmt numFmtId="191" formatCode="yyyy&quot;年&quot;m&quot;月&quot;d&quot;日&quot;;@"/>
    <numFmt numFmtId="192" formatCode="0_);[Red]\(0\)"/>
    <numFmt numFmtId="193" formatCode="General&quot;名&quot;"/>
    <numFmt numFmtId="194" formatCode="##&quot;円&quot;"/>
    <numFmt numFmtId="195" formatCode="0.00_);[Red]\(0.00\)"/>
    <numFmt numFmtId="196" formatCode="yyyy/m/d;@"/>
    <numFmt numFmtId="197" formatCode="General&quot;日&quot;"/>
    <numFmt numFmtId="198" formatCode="#0&quot;歳児&quot;"/>
    <numFmt numFmtId="199" formatCode="#,##0.00&quot;人&quot;"/>
    <numFmt numFmtId="200" formatCode="General&quot;月&quot;"/>
    <numFmt numFmtId="201" formatCode="#0&quot;日&quot;"/>
    <numFmt numFmtId="202" formatCode="General&quot;年&quot;"/>
    <numFmt numFmtId="203" formatCode="#&quot;月&quot;"/>
    <numFmt numFmtId="204" formatCode="#,##0&quot;人/年&quot;"/>
    <numFmt numFmtId="205" formatCode="\(General\)"/>
    <numFmt numFmtId="206" formatCode="General&quot;月&quot;&quot;超&quot;&quot;過&quot;"/>
    <numFmt numFmtId="207" formatCode="&quot;1：&quot;General"/>
    <numFmt numFmtId="208" formatCode="0.00_ "/>
    <numFmt numFmtId="209" formatCode="0.0_ "/>
    <numFmt numFmtId="210" formatCode="0.0_);[Red]\(0.0\)"/>
    <numFmt numFmtId="211" formatCode="#0.00"/>
    <numFmt numFmtId="212" formatCode="#0.00\※"/>
    <numFmt numFmtId="213" formatCode="#0&quot;ケ月間&quot;"/>
    <numFmt numFmtId="214" formatCode="\(0.0\)\ "/>
    <numFmt numFmtId="215" formatCode="0.00_ ;[Red]\-0.00\ "/>
  </numFmts>
  <fonts count="99">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1"/>
      <color theme="1"/>
      <name val="ＭＳ Ｐゴシック"/>
      <family val="2"/>
      <charset val="128"/>
      <scheme val="minor"/>
    </font>
    <font>
      <b/>
      <sz val="12"/>
      <name val="ＭＳ Ｐゴシック"/>
      <family val="3"/>
      <charset val="128"/>
    </font>
    <font>
      <sz val="10"/>
      <name val="ＭＳ 明朝"/>
      <family val="1"/>
      <charset val="128"/>
    </font>
    <font>
      <sz val="12"/>
      <name val="明朝"/>
      <family val="3"/>
      <charset val="128"/>
    </font>
    <font>
      <sz val="10"/>
      <name val="ＭＳ ゴシック"/>
      <family val="3"/>
      <charset val="128"/>
    </font>
    <font>
      <sz val="9"/>
      <color theme="1"/>
      <name val="ＭＳ ゴシック"/>
      <family val="3"/>
      <charset val="128"/>
    </font>
    <font>
      <sz val="9"/>
      <name val="ＭＳ ゴシック"/>
      <family val="3"/>
      <charset val="128"/>
    </font>
    <font>
      <sz val="9"/>
      <color theme="1"/>
      <name val="ＭＳ Ｐゴシック"/>
      <family val="3"/>
      <charset val="128"/>
      <scheme val="minor"/>
    </font>
    <font>
      <b/>
      <sz val="9"/>
      <color theme="1"/>
      <name val="ＭＳ ゴシック"/>
      <family val="3"/>
      <charset val="128"/>
    </font>
    <font>
      <sz val="9"/>
      <color rgb="FFFF0000"/>
      <name val="ＭＳ ゴシック"/>
      <family val="3"/>
      <charset val="128"/>
    </font>
    <font>
      <sz val="9"/>
      <color indexed="8"/>
      <name val="ＭＳ ゴシック"/>
      <family val="3"/>
      <charset val="128"/>
    </font>
    <font>
      <sz val="10"/>
      <color theme="1"/>
      <name val="ＭＳ 明朝"/>
      <family val="1"/>
      <charset val="128"/>
    </font>
    <font>
      <sz val="10"/>
      <color rgb="FFFF0000"/>
      <name val="ＭＳ 明朝"/>
      <family val="1"/>
      <charset val="128"/>
    </font>
    <font>
      <sz val="10"/>
      <color rgb="FF0070C0"/>
      <name val="ＭＳ 明朝"/>
      <family val="1"/>
      <charset val="128"/>
    </font>
    <font>
      <sz val="10"/>
      <name val="ＭＳ Ｐ明朝"/>
      <family val="1"/>
      <charset val="128"/>
    </font>
    <font>
      <sz val="24"/>
      <name val="ＭＳ Ｐゴシック"/>
      <family val="3"/>
      <charset val="128"/>
    </font>
    <font>
      <sz val="12"/>
      <color rgb="FFFF0000"/>
      <name val="ＭＳ Ｐゴシック"/>
      <family val="3"/>
      <charset val="128"/>
    </font>
    <font>
      <sz val="10"/>
      <color theme="1"/>
      <name val="ＭＳ Ｐゴシック"/>
      <family val="2"/>
      <charset val="128"/>
      <scheme val="minor"/>
    </font>
    <font>
      <b/>
      <sz val="10"/>
      <name val="ＭＳ 明朝"/>
      <family val="1"/>
      <charset val="128"/>
    </font>
    <font>
      <sz val="10"/>
      <color theme="1"/>
      <name val="ＭＳ Ｐゴシック"/>
      <family val="3"/>
      <charset val="128"/>
      <scheme val="minor"/>
    </font>
    <font>
      <b/>
      <sz val="10"/>
      <name val="ＭＳ ゴシック"/>
      <family val="3"/>
      <charset val="128"/>
    </font>
    <font>
      <sz val="10"/>
      <name val="ＭＳ Ｐゴシック"/>
      <family val="3"/>
      <charset val="128"/>
      <scheme val="minor"/>
    </font>
    <font>
      <b/>
      <sz val="10"/>
      <name val="ＭＳ Ｐゴシック"/>
      <family val="3"/>
      <charset val="128"/>
      <scheme val="minor"/>
    </font>
    <font>
      <strike/>
      <sz val="10"/>
      <name val="ＭＳ 明朝"/>
      <family val="1"/>
      <charset val="128"/>
    </font>
    <font>
      <sz val="9"/>
      <name val="ＭＳ 明朝"/>
      <family val="1"/>
      <charset val="128"/>
    </font>
    <font>
      <sz val="8"/>
      <name val="ＭＳ 明朝"/>
      <family val="1"/>
      <charset val="128"/>
    </font>
    <font>
      <b/>
      <sz val="10"/>
      <color theme="1"/>
      <name val="ＭＳ Ｐゴシック"/>
      <family val="3"/>
      <charset val="128"/>
      <scheme val="minor"/>
    </font>
    <font>
      <b/>
      <sz val="10"/>
      <name val="ＭＳ Ｐゴシック"/>
      <family val="3"/>
      <charset val="128"/>
    </font>
    <font>
      <b/>
      <sz val="12"/>
      <name val="ＭＳ ゴシック"/>
      <family val="3"/>
      <charset val="128"/>
    </font>
    <font>
      <b/>
      <sz val="10"/>
      <color theme="1"/>
      <name val="ＭＳ 明朝"/>
      <family val="1"/>
      <charset val="128"/>
    </font>
    <font>
      <b/>
      <sz val="16"/>
      <color theme="1"/>
      <name val="ＭＳ Ｐゴシック"/>
      <family val="3"/>
      <charset val="128"/>
      <scheme val="minor"/>
    </font>
    <font>
      <sz val="12"/>
      <color theme="1"/>
      <name val="ＭＳ Ｐゴシック"/>
      <family val="2"/>
      <charset val="128"/>
      <scheme val="minor"/>
    </font>
    <font>
      <sz val="12"/>
      <color theme="1"/>
      <name val="ＭＳ 明朝"/>
      <family val="1"/>
      <charset val="128"/>
    </font>
    <font>
      <sz val="11"/>
      <color theme="1"/>
      <name val="ＭＳ 明朝"/>
      <family val="1"/>
      <charset val="128"/>
    </font>
    <font>
      <sz val="9"/>
      <color theme="1"/>
      <name val="ＭＳ 明朝"/>
      <family val="1"/>
      <charset val="128"/>
    </font>
    <font>
      <sz val="11"/>
      <color rgb="FFFF0000"/>
      <name val="ＭＳ 明朝"/>
      <family val="1"/>
      <charset val="128"/>
    </font>
    <font>
      <sz val="6"/>
      <name val="ＭＳ 明朝"/>
      <family val="1"/>
      <charset val="128"/>
    </font>
    <font>
      <sz val="14"/>
      <name val="ＭＳ 明朝"/>
      <family val="1"/>
      <charset val="128"/>
    </font>
    <font>
      <b/>
      <sz val="10"/>
      <color rgb="FFFF0000"/>
      <name val="ＭＳ 明朝"/>
      <family val="1"/>
      <charset val="128"/>
    </font>
    <font>
      <sz val="14"/>
      <color rgb="FFFF0000"/>
      <name val="ＭＳ 明朝"/>
      <family val="1"/>
      <charset val="128"/>
    </font>
    <font>
      <sz val="14"/>
      <color theme="1"/>
      <name val="ＭＳ 明朝"/>
      <family val="1"/>
      <charset val="128"/>
    </font>
    <font>
      <u/>
      <sz val="14"/>
      <color theme="1"/>
      <name val="ＭＳ 明朝"/>
      <family val="1"/>
      <charset val="128"/>
    </font>
    <font>
      <sz val="11"/>
      <name val="ＭＳ 明朝"/>
      <family val="1"/>
      <charset val="128"/>
    </font>
    <font>
      <b/>
      <sz val="12"/>
      <color theme="1"/>
      <name val="ＭＳ 明朝"/>
      <family val="1"/>
      <charset val="128"/>
    </font>
    <font>
      <b/>
      <sz val="12"/>
      <name val="ＭＳ 明朝"/>
      <family val="1"/>
      <charset val="128"/>
    </font>
    <font>
      <sz val="12"/>
      <name val="ＭＳ 明朝"/>
      <family val="1"/>
      <charset val="128"/>
    </font>
    <font>
      <sz val="12"/>
      <color rgb="FFFF0000"/>
      <name val="ＭＳ 明朝"/>
      <family val="1"/>
      <charset val="128"/>
    </font>
    <font>
      <b/>
      <sz val="12"/>
      <color rgb="FFFF0000"/>
      <name val="ＭＳ 明朝"/>
      <family val="1"/>
      <charset val="128"/>
    </font>
    <font>
      <b/>
      <sz val="10"/>
      <color theme="1"/>
      <name val="ＭＳ ゴシック"/>
      <family val="3"/>
      <charset val="128"/>
    </font>
    <font>
      <b/>
      <u/>
      <sz val="10"/>
      <name val="ＭＳ 明朝"/>
      <family val="1"/>
      <charset val="128"/>
    </font>
    <font>
      <b/>
      <sz val="14"/>
      <name val="ＭＳ ゴシック"/>
      <family val="3"/>
      <charset val="128"/>
    </font>
    <font>
      <b/>
      <sz val="14"/>
      <color theme="1"/>
      <name val="ＭＳ ゴシック"/>
      <family val="3"/>
      <charset val="128"/>
    </font>
    <font>
      <b/>
      <sz val="11"/>
      <name val="ＭＳ 明朝"/>
      <family val="1"/>
      <charset val="128"/>
    </font>
    <font>
      <b/>
      <sz val="11"/>
      <color theme="1"/>
      <name val="ＭＳ 明朝"/>
      <family val="1"/>
      <charset val="128"/>
    </font>
    <font>
      <b/>
      <sz val="11"/>
      <name val="ＭＳ ゴシック"/>
      <family val="3"/>
      <charset val="128"/>
    </font>
    <font>
      <b/>
      <sz val="6"/>
      <color theme="1"/>
      <name val="ＭＳ 明朝"/>
      <family val="1"/>
      <charset val="128"/>
    </font>
    <font>
      <sz val="6"/>
      <color theme="1"/>
      <name val="ＭＳ 明朝"/>
      <family val="1"/>
      <charset val="128"/>
    </font>
    <font>
      <b/>
      <sz val="6"/>
      <name val="ＭＳ 明朝"/>
      <family val="1"/>
      <charset val="128"/>
    </font>
    <font>
      <sz val="8"/>
      <color theme="1"/>
      <name val="ＭＳ 明朝"/>
      <family val="1"/>
      <charset val="128"/>
    </font>
    <font>
      <b/>
      <sz val="14"/>
      <color theme="1"/>
      <name val="ＭＳ 明朝"/>
      <family val="1"/>
      <charset val="128"/>
    </font>
    <font>
      <b/>
      <sz val="10"/>
      <color rgb="FFFF0000"/>
      <name val="ＭＳ Ｐゴシック"/>
      <family val="3"/>
      <charset val="128"/>
    </font>
    <font>
      <sz val="9"/>
      <color theme="1"/>
      <name val="ＭＳ Ｐゴシック"/>
      <family val="2"/>
      <charset val="128"/>
      <scheme val="minor"/>
    </font>
    <font>
      <sz val="16"/>
      <color theme="1"/>
      <name val="ＭＳ Ｐゴシック"/>
      <family val="3"/>
      <charset val="128"/>
      <scheme val="minor"/>
    </font>
    <font>
      <sz val="11"/>
      <color rgb="FF0070C0"/>
      <name val="ＭＳ Ｐゴシック"/>
      <family val="3"/>
      <charset val="128"/>
    </font>
    <font>
      <sz val="11"/>
      <color theme="1"/>
      <name val="ＭＳ Ｐゴシック"/>
      <family val="2"/>
      <scheme val="minor"/>
    </font>
    <font>
      <sz val="12"/>
      <name val="ＭＳ ゴシック"/>
      <family val="3"/>
      <charset val="128"/>
    </font>
    <font>
      <b/>
      <sz val="14"/>
      <color rgb="FFFF0000"/>
      <name val="ＭＳ Ｐゴシック"/>
      <family val="3"/>
      <charset val="128"/>
    </font>
    <font>
      <sz val="6"/>
      <name val="ＭＳ Ｐゴシック"/>
      <family val="3"/>
      <charset val="128"/>
      <scheme val="minor"/>
    </font>
    <font>
      <sz val="12"/>
      <name val="ＭＳ Ｐゴシック"/>
      <family val="2"/>
      <scheme val="minor"/>
    </font>
    <font>
      <u/>
      <sz val="11"/>
      <color theme="10"/>
      <name val="ＭＳ Ｐゴシック"/>
      <family val="2"/>
      <charset val="128"/>
      <scheme val="minor"/>
    </font>
    <font>
      <u/>
      <sz val="12"/>
      <color theme="10"/>
      <name val="ＭＳ Ｐゴシック"/>
      <family val="2"/>
      <charset val="128"/>
      <scheme val="minor"/>
    </font>
    <font>
      <sz val="12"/>
      <color theme="1"/>
      <name val="ＭＳ Ｐゴシック"/>
      <family val="2"/>
      <scheme val="minor"/>
    </font>
    <font>
      <b/>
      <sz val="12"/>
      <color rgb="FFFF0000"/>
      <name val="ＭＳ ゴシック"/>
      <family val="3"/>
      <charset val="128"/>
    </font>
    <font>
      <sz val="12"/>
      <color rgb="FFFF0000"/>
      <name val="ＭＳ ゴシック"/>
      <family val="3"/>
      <charset val="128"/>
    </font>
    <font>
      <sz val="11"/>
      <color theme="1"/>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sz val="11"/>
      <name val="ＭＳ ゴシック"/>
      <family val="3"/>
      <charset val="128"/>
    </font>
    <font>
      <sz val="14"/>
      <color theme="1"/>
      <name val="ＭＳ Ｐゴシック"/>
      <family val="2"/>
      <scheme val="minor"/>
    </font>
    <font>
      <sz val="14"/>
      <color theme="1"/>
      <name val="ＭＳ Ｐゴシック"/>
      <family val="3"/>
      <charset val="128"/>
      <scheme val="minor"/>
    </font>
    <font>
      <b/>
      <sz val="8"/>
      <color rgb="FFFF0000"/>
      <name val="ＭＳ 明朝"/>
      <family val="1"/>
      <charset val="128"/>
    </font>
    <font>
      <b/>
      <sz val="11"/>
      <name val="ＭＳ Ｐゴシック"/>
      <family val="3"/>
      <charset val="128"/>
      <scheme val="minor"/>
    </font>
    <font>
      <b/>
      <u/>
      <sz val="14"/>
      <color theme="10"/>
      <name val="ＭＳ Ｐゴシック"/>
      <family val="3"/>
      <charset val="128"/>
      <scheme val="minor"/>
    </font>
    <font>
      <sz val="11"/>
      <name val="ＭＳ Ｐゴシック"/>
      <family val="2"/>
      <scheme val="minor"/>
    </font>
    <font>
      <sz val="14"/>
      <name val="ＭＳ ゴシック"/>
      <family val="3"/>
      <charset val="128"/>
    </font>
    <font>
      <b/>
      <sz val="11"/>
      <color rgb="FFFF0000"/>
      <name val="ＭＳ Ｐゴシック"/>
      <family val="3"/>
      <charset val="128"/>
    </font>
    <font>
      <b/>
      <sz val="11"/>
      <color theme="1"/>
      <name val="ＭＳ Ｐゴシック"/>
      <family val="3"/>
      <charset val="128"/>
      <scheme val="minor"/>
    </font>
    <font>
      <b/>
      <sz val="11"/>
      <color rgb="FFFFFF00"/>
      <name val="ＭＳ Ｐゴシック"/>
      <family val="3"/>
      <charset val="128"/>
      <scheme val="minor"/>
    </font>
    <font>
      <b/>
      <sz val="9"/>
      <color theme="1"/>
      <name val="ＭＳ Ｐゴシック"/>
      <family val="3"/>
      <charset val="128"/>
      <scheme val="minor"/>
    </font>
    <font>
      <b/>
      <u/>
      <sz val="10"/>
      <color rgb="FFFF0000"/>
      <name val="ＭＳ 明朝"/>
      <family val="1"/>
      <charset val="128"/>
    </font>
    <font>
      <b/>
      <sz val="9"/>
      <name val="ＭＳ ゴシック"/>
      <family val="3"/>
      <charset val="128"/>
    </font>
    <font>
      <b/>
      <sz val="9"/>
      <color rgb="FFFF0000"/>
      <name val="ＭＳ ゴシック"/>
      <family val="3"/>
      <charset val="128"/>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CFF"/>
        <bgColor indexed="64"/>
      </patternFill>
    </fill>
    <fill>
      <patternFill patternType="solid">
        <fgColor rgb="FFCCFF99"/>
        <bgColor indexed="64"/>
      </patternFill>
    </fill>
    <fill>
      <patternFill patternType="solid">
        <fgColor theme="0" tint="-4.9989318521683403E-2"/>
        <bgColor indexed="64"/>
      </patternFill>
    </fill>
    <fill>
      <patternFill patternType="solid">
        <fgColor rgb="FFFFFF99"/>
        <bgColor indexed="64"/>
      </patternFill>
    </fill>
    <fill>
      <patternFill patternType="gray0625">
        <bgColor theme="0"/>
      </patternFill>
    </fill>
    <fill>
      <patternFill patternType="solid">
        <fgColor theme="0" tint="-0.249977111117893"/>
        <bgColor indexed="64"/>
      </patternFill>
    </fill>
    <fill>
      <patternFill patternType="solid">
        <fgColor theme="4" tint="0.79998168889431442"/>
        <bgColor indexed="64"/>
      </patternFill>
    </fill>
  </fills>
  <borders count="517">
    <border>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top/>
      <bottom style="double">
        <color indexed="64"/>
      </bottom>
      <diagonal/>
    </border>
    <border>
      <left/>
      <right style="medium">
        <color indexed="64"/>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medium">
        <color auto="1"/>
      </left>
      <right style="double">
        <color auto="1"/>
      </right>
      <top style="medium">
        <color auto="1"/>
      </top>
      <bottom/>
      <diagonal/>
    </border>
    <border>
      <left style="medium">
        <color auto="1"/>
      </left>
      <right style="double">
        <color auto="1"/>
      </right>
      <top/>
      <bottom/>
      <diagonal/>
    </border>
    <border>
      <left style="thin">
        <color auto="1"/>
      </left>
      <right style="thin">
        <color auto="1"/>
      </right>
      <top/>
      <bottom style="medium">
        <color auto="1"/>
      </bottom>
      <diagonal/>
    </border>
    <border>
      <left style="double">
        <color auto="1"/>
      </left>
      <right/>
      <top/>
      <bottom/>
      <diagonal/>
    </border>
    <border>
      <left style="dotted">
        <color auto="1"/>
      </left>
      <right style="thin">
        <color indexed="64"/>
      </right>
      <top style="thin">
        <color auto="1"/>
      </top>
      <bottom style="medium">
        <color indexed="64"/>
      </bottom>
      <diagonal/>
    </border>
    <border>
      <left style="thin">
        <color auto="1"/>
      </left>
      <right style="dotted">
        <color auto="1"/>
      </right>
      <top style="thin">
        <color auto="1"/>
      </top>
      <bottom style="medium">
        <color auto="1"/>
      </bottom>
      <diagonal/>
    </border>
    <border diagonalUp="1">
      <left style="thin">
        <color indexed="64"/>
      </left>
      <right style="thin">
        <color auto="1"/>
      </right>
      <top/>
      <bottom/>
      <diagonal style="thin">
        <color indexed="64"/>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dotted">
        <color indexed="64"/>
      </left>
      <right/>
      <top style="dotted">
        <color indexed="64"/>
      </top>
      <bottom style="dotted">
        <color indexed="64"/>
      </bottom>
      <diagonal/>
    </border>
    <border>
      <left/>
      <right style="thin">
        <color indexed="64"/>
      </right>
      <top style="medium">
        <color indexed="64"/>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top style="thin">
        <color rgb="FF000000"/>
      </top>
      <bottom/>
      <diagonal/>
    </border>
    <border>
      <left style="double">
        <color indexed="64"/>
      </left>
      <right style="double">
        <color indexed="64"/>
      </right>
      <top style="double">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medium">
        <color indexed="64"/>
      </right>
      <top/>
      <bottom style="thin">
        <color indexed="64"/>
      </bottom>
      <diagonal/>
    </border>
    <border>
      <left style="thin">
        <color indexed="64"/>
      </left>
      <right style="thin">
        <color indexed="64"/>
      </right>
      <top style="dotted">
        <color indexed="64"/>
      </top>
      <bottom style="medium">
        <color indexed="64"/>
      </bottom>
      <diagonal/>
    </border>
    <border>
      <left style="thin">
        <color indexed="64"/>
      </left>
      <right/>
      <top style="hair">
        <color indexed="64"/>
      </top>
      <bottom style="thin">
        <color indexed="64"/>
      </bottom>
      <diagonal/>
    </border>
    <border>
      <left/>
      <right style="thin">
        <color theme="1"/>
      </right>
      <top style="thin">
        <color indexed="64"/>
      </top>
      <bottom/>
      <diagonal/>
    </border>
    <border>
      <left/>
      <right style="thin">
        <color indexed="64"/>
      </right>
      <top style="thin">
        <color theme="1"/>
      </top>
      <bottom style="thin">
        <color theme="1"/>
      </bottom>
      <diagonal/>
    </border>
    <border>
      <left/>
      <right/>
      <top style="thin">
        <color theme="1"/>
      </top>
      <bottom style="thin">
        <color theme="1"/>
      </bottom>
      <diagonal/>
    </border>
    <border>
      <left/>
      <right/>
      <top style="thin">
        <color theme="1"/>
      </top>
      <bottom/>
      <diagonal/>
    </border>
    <border>
      <left/>
      <right style="thin">
        <color indexed="64"/>
      </right>
      <top style="thin">
        <color theme="1"/>
      </top>
      <bottom/>
      <diagonal/>
    </border>
    <border>
      <left style="thin">
        <color theme="1"/>
      </left>
      <right style="thin">
        <color indexed="64"/>
      </right>
      <top style="dotted">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dotted">
        <color indexed="64"/>
      </bottom>
      <diagonal/>
    </border>
    <border>
      <left style="thin">
        <color theme="1"/>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dotted">
        <color indexed="64"/>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bottom style="dotted">
        <color indexed="64"/>
      </bottom>
      <diagonal/>
    </border>
    <border>
      <left style="thin">
        <color indexed="64"/>
      </left>
      <right/>
      <top style="hair">
        <color indexed="64"/>
      </top>
      <bottom style="hair">
        <color indexed="64"/>
      </bottom>
      <diagonal/>
    </border>
    <border>
      <left style="thin">
        <color indexed="64"/>
      </left>
      <right/>
      <top style="hair">
        <color indexed="64"/>
      </top>
      <bottom style="dotted">
        <color indexed="64"/>
      </bottom>
      <diagonal/>
    </border>
    <border>
      <left/>
      <right style="thin">
        <color indexed="64"/>
      </right>
      <top style="hair">
        <color indexed="64"/>
      </top>
      <bottom style="dotted">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thin">
        <color indexed="64"/>
      </bottom>
      <diagonal/>
    </border>
    <border>
      <left style="medium">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dashed">
        <color indexed="64"/>
      </bottom>
      <diagonal/>
    </border>
    <border>
      <left style="medium">
        <color indexed="64"/>
      </left>
      <right style="thin">
        <color indexed="64"/>
      </right>
      <top style="medium">
        <color indexed="64"/>
      </top>
      <bottom style="dashed">
        <color indexed="64"/>
      </bottom>
      <diagonal/>
    </border>
    <border>
      <left style="thin">
        <color indexed="64"/>
      </left>
      <right style="dashed">
        <color indexed="64"/>
      </right>
      <top style="medium">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medium">
        <color indexed="64"/>
      </bottom>
      <diagonal/>
    </border>
    <border>
      <left/>
      <right style="thin">
        <color indexed="64"/>
      </right>
      <top style="dashed">
        <color indexed="64"/>
      </top>
      <bottom style="medium">
        <color indexed="64"/>
      </bottom>
      <diagonal/>
    </border>
    <border>
      <left style="medium">
        <color auto="1"/>
      </left>
      <right style="double">
        <color auto="1"/>
      </right>
      <top style="thin">
        <color auto="1"/>
      </top>
      <bottom style="dashed">
        <color auto="1"/>
      </bottom>
      <diagonal/>
    </border>
    <border>
      <left style="medium">
        <color auto="1"/>
      </left>
      <right style="double">
        <color auto="1"/>
      </right>
      <top style="dashed">
        <color auto="1"/>
      </top>
      <bottom style="dashed">
        <color auto="1"/>
      </bottom>
      <diagonal/>
    </border>
    <border>
      <left style="medium">
        <color auto="1"/>
      </left>
      <right style="double">
        <color auto="1"/>
      </right>
      <top style="dashed">
        <color auto="1"/>
      </top>
      <bottom style="medium">
        <color auto="1"/>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theme="1"/>
      </left>
      <right style="thin">
        <color indexed="64"/>
      </right>
      <top style="hair">
        <color indexed="64"/>
      </top>
      <bottom style="dotted">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medium">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style="hair">
        <color indexed="64"/>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style="medium">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style="dotted">
        <color indexed="64"/>
      </top>
      <bottom style="thin">
        <color indexed="64"/>
      </bottom>
      <diagonal/>
    </border>
    <border>
      <left style="hair">
        <color indexed="64"/>
      </left>
      <right style="thin">
        <color indexed="64"/>
      </right>
      <top style="dotted">
        <color indexed="64"/>
      </top>
      <bottom style="dotted">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right style="dotted">
        <color indexed="64"/>
      </right>
      <top/>
      <bottom/>
      <diagonal/>
    </border>
    <border>
      <left/>
      <right style="dotted">
        <color indexed="64"/>
      </right>
      <top style="hair">
        <color indexed="64"/>
      </top>
      <bottom style="hair">
        <color indexed="64"/>
      </bottom>
      <diagonal/>
    </border>
    <border>
      <left/>
      <right style="dotted">
        <color indexed="64"/>
      </right>
      <top style="hair">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style="hair">
        <color indexed="64"/>
      </top>
      <bottom style="thin">
        <color indexed="64"/>
      </bottom>
      <diagonal/>
    </border>
    <border>
      <left style="medium">
        <color indexed="64"/>
      </left>
      <right style="medium">
        <color indexed="64"/>
      </right>
      <top/>
      <bottom style="medium">
        <color indexed="64"/>
      </bottom>
      <diagonal/>
    </border>
    <border>
      <left style="dotted">
        <color indexed="64"/>
      </left>
      <right style="dotted">
        <color indexed="64"/>
      </right>
      <top style="hair">
        <color indexed="64"/>
      </top>
      <bottom/>
      <diagonal/>
    </border>
    <border diagonalUp="1">
      <left style="medium">
        <color indexed="64"/>
      </left>
      <right style="thin">
        <color indexed="64"/>
      </right>
      <top style="medium">
        <color indexed="64"/>
      </top>
      <bottom style="medium">
        <color indexed="64"/>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bottom style="medium">
        <color indexed="64"/>
      </bottom>
      <diagonal style="thin">
        <color indexed="64"/>
      </diagonal>
    </border>
    <border>
      <left style="dotted">
        <color indexed="64"/>
      </left>
      <right style="dotted">
        <color indexed="64"/>
      </right>
      <top/>
      <bottom/>
      <diagonal/>
    </border>
    <border>
      <left style="medium">
        <color indexed="64"/>
      </left>
      <right style="medium">
        <color indexed="64"/>
      </right>
      <top style="thin">
        <color indexed="64"/>
      </top>
      <bottom/>
      <diagonal/>
    </border>
    <border>
      <left style="hair">
        <color indexed="64"/>
      </left>
      <right/>
      <top style="hair">
        <color indexed="64"/>
      </top>
      <bottom/>
      <diagonal/>
    </border>
    <border>
      <left style="thin">
        <color indexed="64"/>
      </left>
      <right style="thin">
        <color indexed="64"/>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hair">
        <color indexed="64"/>
      </right>
      <top/>
      <bottom style="medium">
        <color indexed="64"/>
      </bottom>
      <diagonal/>
    </border>
    <border>
      <left style="thin">
        <color indexed="64"/>
      </left>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hair">
        <color indexed="64"/>
      </left>
      <right style="thin">
        <color indexed="64"/>
      </right>
      <top/>
      <bottom style="dashed">
        <color indexed="64"/>
      </bottom>
      <diagonal/>
    </border>
    <border>
      <left style="hair">
        <color indexed="64"/>
      </left>
      <right style="hair">
        <color indexed="64"/>
      </right>
      <top/>
      <bottom style="dashed">
        <color indexed="64"/>
      </bottom>
      <diagonal/>
    </border>
    <border>
      <left/>
      <right style="thin">
        <color indexed="64"/>
      </right>
      <top/>
      <bottom style="dashed">
        <color indexed="64"/>
      </bottom>
      <diagonal/>
    </border>
    <border>
      <left style="hair">
        <color indexed="64"/>
      </left>
      <right style="thin">
        <color indexed="64"/>
      </right>
      <top style="medium">
        <color indexed="64"/>
      </top>
      <bottom style="dashed">
        <color indexed="64"/>
      </bottom>
      <diagonal/>
    </border>
    <border>
      <left style="hair">
        <color indexed="64"/>
      </left>
      <right style="hair">
        <color indexed="64"/>
      </right>
      <top style="medium">
        <color indexed="64"/>
      </top>
      <bottom style="dashed">
        <color indexed="64"/>
      </bottom>
      <diagonal/>
    </border>
    <border>
      <left/>
      <right/>
      <top style="medium">
        <color indexed="64"/>
      </top>
      <bottom style="hair">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hair">
        <color indexed="64"/>
      </right>
      <top style="hair">
        <color indexed="64"/>
      </top>
      <bottom/>
      <diagonal/>
    </border>
    <border>
      <left style="thin">
        <color indexed="64"/>
      </left>
      <right style="hair">
        <color indexed="64"/>
      </right>
      <top style="medium">
        <color indexed="64"/>
      </top>
      <bottom style="dashed">
        <color indexed="64"/>
      </bottom>
      <diagonal/>
    </border>
    <border>
      <left style="thin">
        <color indexed="64"/>
      </left>
      <right style="hair">
        <color indexed="64"/>
      </right>
      <top style="dashed">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dotted">
        <color indexed="64"/>
      </right>
      <top style="hair">
        <color indexed="64"/>
      </top>
      <bottom style="medium">
        <color indexed="64"/>
      </bottom>
      <diagonal/>
    </border>
    <border>
      <left style="dotted">
        <color indexed="64"/>
      </left>
      <right style="dotted">
        <color indexed="64"/>
      </right>
      <top style="thin">
        <color indexed="64"/>
      </top>
      <bottom style="hair">
        <color indexed="64"/>
      </bottom>
      <diagonal/>
    </border>
    <border>
      <left style="dotted">
        <color indexed="64"/>
      </left>
      <right style="medium">
        <color indexed="64"/>
      </right>
      <top style="thin">
        <color indexed="64"/>
      </top>
      <bottom style="hair">
        <color indexed="64"/>
      </bottom>
      <diagonal/>
    </border>
    <border>
      <left/>
      <right style="dotted">
        <color indexed="64"/>
      </right>
      <top style="thin">
        <color indexed="64"/>
      </top>
      <bottom style="hair">
        <color indexed="64"/>
      </bottom>
      <diagonal/>
    </border>
    <border>
      <left/>
      <right style="dotted">
        <color indexed="64"/>
      </right>
      <top style="hair">
        <color indexed="64"/>
      </top>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diagonal/>
    </border>
    <border>
      <left style="dotted">
        <color indexed="64"/>
      </left>
      <right style="medium">
        <color indexed="64"/>
      </right>
      <top style="hair">
        <color indexed="64"/>
      </top>
      <bottom/>
      <diagonal/>
    </border>
    <border>
      <left style="dotted">
        <color indexed="64"/>
      </left>
      <right style="medium">
        <color indexed="64"/>
      </right>
      <top style="hair">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dotted">
        <color indexed="64"/>
      </left>
      <right style="dotted">
        <color indexed="64"/>
      </right>
      <top style="thin">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dotted">
        <color indexed="64"/>
      </right>
      <top style="dashed">
        <color indexed="64"/>
      </top>
      <bottom style="thin">
        <color indexed="64"/>
      </bottom>
      <diagonal/>
    </border>
    <border>
      <left style="thin">
        <color indexed="64"/>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style="dotted">
        <color indexed="64"/>
      </left>
      <right/>
      <top style="hair">
        <color indexed="64"/>
      </top>
      <bottom/>
      <diagonal/>
    </border>
    <border>
      <left style="dotted">
        <color indexed="64"/>
      </left>
      <right/>
      <top style="dotted">
        <color indexed="64"/>
      </top>
      <bottom/>
      <diagonal/>
    </border>
    <border>
      <left/>
      <right style="dotted">
        <color indexed="64"/>
      </right>
      <top style="dotted">
        <color indexed="64"/>
      </top>
      <bottom/>
      <diagonal/>
    </border>
    <border>
      <left/>
      <right style="dotted">
        <color indexed="64"/>
      </right>
      <top style="thin">
        <color indexed="64"/>
      </top>
      <bottom/>
      <diagonal/>
    </border>
    <border>
      <left style="dotted">
        <color indexed="64"/>
      </left>
      <right style="dotted">
        <color indexed="64"/>
      </right>
      <top style="dotted">
        <color indexed="64"/>
      </top>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style="thin">
        <color indexed="64"/>
      </left>
      <right style="dotted">
        <color indexed="64"/>
      </right>
      <top style="dashed">
        <color indexed="64"/>
      </top>
      <bottom style="dashed">
        <color indexed="64"/>
      </bottom>
      <diagonal/>
    </border>
    <border>
      <left style="dotted">
        <color indexed="64"/>
      </left>
      <right style="thin">
        <color indexed="64"/>
      </right>
      <top style="dashed">
        <color indexed="64"/>
      </top>
      <bottom style="dashed">
        <color indexed="64"/>
      </bottom>
      <diagonal/>
    </border>
    <border>
      <left style="thin">
        <color indexed="64"/>
      </left>
      <right style="dotted">
        <color indexed="64"/>
      </right>
      <top style="dashed">
        <color indexed="64"/>
      </top>
      <bottom/>
      <diagonal/>
    </border>
    <border>
      <left style="dotted">
        <color indexed="64"/>
      </left>
      <right style="dotted">
        <color indexed="64"/>
      </right>
      <top style="dashed">
        <color indexed="64"/>
      </top>
      <bottom/>
      <diagonal/>
    </border>
    <border>
      <left style="dotted">
        <color indexed="64"/>
      </left>
      <right style="thin">
        <color indexed="64"/>
      </right>
      <top style="dashed">
        <color indexed="64"/>
      </top>
      <bottom/>
      <diagonal/>
    </border>
    <border>
      <left style="thin">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thin">
        <color indexed="64"/>
      </right>
      <top/>
      <bottom style="dashed">
        <color indexed="64"/>
      </bottom>
      <diagonal/>
    </border>
    <border>
      <left style="hair">
        <color indexed="64"/>
      </left>
      <right style="thin">
        <color indexed="64"/>
      </right>
      <top style="medium">
        <color indexed="64"/>
      </top>
      <bottom style="dotted">
        <color indexed="64"/>
      </bottom>
      <diagonal/>
    </border>
    <border>
      <left style="hair">
        <color indexed="64"/>
      </left>
      <right/>
      <top/>
      <bottom style="medium">
        <color indexed="64"/>
      </bottom>
      <diagonal/>
    </border>
    <border>
      <left style="medium">
        <color indexed="64"/>
      </left>
      <right style="medium">
        <color indexed="64"/>
      </right>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diagonalUp="1">
      <left style="medium">
        <color indexed="64"/>
      </left>
      <right style="medium">
        <color indexed="64"/>
      </right>
      <top style="thin">
        <color indexed="64"/>
      </top>
      <bottom style="thin">
        <color indexed="64"/>
      </bottom>
      <diagonal style="thin">
        <color indexed="64"/>
      </diagonal>
    </border>
    <border>
      <left style="hair">
        <color indexed="64"/>
      </left>
      <right/>
      <top style="hair">
        <color indexed="64"/>
      </top>
      <bottom style="dotted">
        <color indexed="64"/>
      </bottom>
      <diagonal/>
    </border>
    <border>
      <left style="dotted">
        <color indexed="64"/>
      </left>
      <right style="thin">
        <color theme="1"/>
      </right>
      <top style="dotted">
        <color indexed="64"/>
      </top>
      <bottom style="hair">
        <color indexed="64"/>
      </bottom>
      <diagonal/>
    </border>
    <border>
      <left style="dotted">
        <color indexed="64"/>
      </left>
      <right style="thin">
        <color theme="1"/>
      </right>
      <top/>
      <bottom/>
      <diagonal/>
    </border>
    <border>
      <left style="dotted">
        <color indexed="64"/>
      </left>
      <right style="thin">
        <color theme="1"/>
      </right>
      <top style="hair">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medium">
        <color auto="1"/>
      </bottom>
      <diagonal/>
    </border>
    <border>
      <left/>
      <right style="dotted">
        <color indexed="64"/>
      </right>
      <top/>
      <bottom style="medium">
        <color indexed="64"/>
      </bottom>
      <diagonal/>
    </border>
    <border>
      <left/>
      <right style="dotted">
        <color indexed="64"/>
      </right>
      <top style="medium">
        <color indexed="64"/>
      </top>
      <bottom/>
      <diagonal/>
    </border>
    <border>
      <left style="thin">
        <color indexed="64"/>
      </left>
      <right style="dotted">
        <color indexed="64"/>
      </right>
      <top style="medium">
        <color indexed="64"/>
      </top>
      <bottom/>
      <diagonal/>
    </border>
    <border>
      <left style="hair">
        <color indexed="64"/>
      </left>
      <right/>
      <top style="dashed">
        <color indexed="64"/>
      </top>
      <bottom/>
      <diagonal/>
    </border>
    <border>
      <left/>
      <right style="thin">
        <color indexed="64"/>
      </right>
      <top style="dashed">
        <color indexed="64"/>
      </top>
      <bottom/>
      <diagonal/>
    </border>
    <border>
      <left/>
      <right/>
      <top style="dashed">
        <color indexed="64"/>
      </top>
      <bottom/>
      <diagonal/>
    </border>
    <border>
      <left style="dotted">
        <color indexed="64"/>
      </left>
      <right/>
      <top style="dashed">
        <color indexed="64"/>
      </top>
      <bottom/>
      <diagonal/>
    </border>
    <border>
      <left/>
      <right style="dotted">
        <color indexed="64"/>
      </right>
      <top style="dashed">
        <color indexed="64"/>
      </top>
      <bottom/>
      <diagonal/>
    </border>
    <border>
      <left style="hair">
        <color indexed="64"/>
      </left>
      <right/>
      <top/>
      <bottom style="dashed">
        <color indexed="64"/>
      </bottom>
      <diagonal/>
    </border>
    <border>
      <left style="thin">
        <color indexed="64"/>
      </left>
      <right style="hair">
        <color indexed="64"/>
      </right>
      <top/>
      <bottom style="dashed">
        <color indexed="64"/>
      </bottom>
      <diagonal/>
    </border>
    <border>
      <left style="hair">
        <color indexed="64"/>
      </left>
      <right style="dotted">
        <color indexed="64"/>
      </right>
      <top style="hair">
        <color indexed="64"/>
      </top>
      <bottom style="dashed">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style="hair">
        <color indexed="64"/>
      </left>
      <right style="hair">
        <color indexed="64"/>
      </right>
      <top style="dotted">
        <color indexed="64"/>
      </top>
      <bottom/>
      <diagonal/>
    </border>
    <border>
      <left style="hair">
        <color indexed="64"/>
      </left>
      <right style="dotted">
        <color indexed="64"/>
      </right>
      <top style="hair">
        <color indexed="64"/>
      </top>
      <bottom/>
      <diagonal/>
    </border>
    <border>
      <left style="hair">
        <color indexed="64"/>
      </left>
      <right/>
      <top style="dashed">
        <color indexed="64"/>
      </top>
      <bottom style="dashed">
        <color indexed="64"/>
      </bottom>
      <diagonal/>
    </border>
    <border>
      <left/>
      <right/>
      <top style="dashed">
        <color indexed="64"/>
      </top>
      <bottom style="dashed">
        <color indexed="64"/>
      </bottom>
      <diagonal/>
    </border>
    <border>
      <left/>
      <right style="hair">
        <color indexed="64"/>
      </right>
      <top style="dashed">
        <color indexed="64"/>
      </top>
      <bottom style="dashed">
        <color indexed="64"/>
      </bottom>
      <diagonal/>
    </border>
    <border>
      <left style="dotted">
        <color indexed="64"/>
      </left>
      <right/>
      <top style="dashed">
        <color indexed="64"/>
      </top>
      <bottom style="dashed">
        <color indexed="64"/>
      </bottom>
      <diagonal/>
    </border>
    <border>
      <left style="hair">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dotted">
        <color indexed="64"/>
      </right>
      <top style="dashed">
        <color indexed="64"/>
      </top>
      <bottom style="thin">
        <color indexed="64"/>
      </bottom>
      <diagonal/>
    </border>
    <border>
      <left/>
      <right/>
      <top style="medium">
        <color indexed="64"/>
      </top>
      <bottom style="dashed">
        <color indexed="64"/>
      </bottom>
      <diagonal/>
    </border>
    <border>
      <left/>
      <right style="dotted">
        <color indexed="64"/>
      </right>
      <top style="dashed">
        <color indexed="64"/>
      </top>
      <bottom style="dashed">
        <color indexed="64"/>
      </bottom>
      <diagonal/>
    </border>
    <border>
      <left/>
      <right style="dotted">
        <color indexed="64"/>
      </right>
      <top style="dashed">
        <color indexed="64"/>
      </top>
      <bottom style="thin">
        <color indexed="64"/>
      </bottom>
      <diagonal/>
    </border>
    <border>
      <left style="dotted">
        <color indexed="64"/>
      </left>
      <right/>
      <top style="dashed">
        <color indexed="64"/>
      </top>
      <bottom style="thin">
        <color indexed="64"/>
      </bottom>
      <diagonal/>
    </border>
    <border>
      <left style="thin">
        <color indexed="64"/>
      </left>
      <right/>
      <top style="dashed">
        <color indexed="64"/>
      </top>
      <bottom/>
      <diagonal/>
    </border>
    <border>
      <left/>
      <right/>
      <top style="dashed">
        <color indexed="64"/>
      </top>
      <bottom style="hair">
        <color indexed="64"/>
      </bottom>
      <diagonal/>
    </border>
    <border>
      <left style="thin">
        <color indexed="64"/>
      </left>
      <right style="hair">
        <color indexed="64"/>
      </right>
      <top style="medium">
        <color indexed="64"/>
      </top>
      <bottom/>
      <diagonal/>
    </border>
    <border>
      <left style="hair">
        <color indexed="64"/>
      </left>
      <right/>
      <top style="medium">
        <color indexed="64"/>
      </top>
      <bottom style="dashed">
        <color indexed="64"/>
      </bottom>
      <diagonal/>
    </border>
    <border>
      <left/>
      <right style="dotted">
        <color indexed="64"/>
      </right>
      <top style="hair">
        <color indexed="64"/>
      </top>
      <bottom style="dashed">
        <color indexed="64"/>
      </bottom>
      <diagonal/>
    </border>
    <border>
      <left style="thin">
        <color indexed="64"/>
      </left>
      <right/>
      <top style="hair">
        <color indexed="64"/>
      </top>
      <bottom style="dashed">
        <color indexed="64"/>
      </bottom>
      <diagonal/>
    </border>
    <border>
      <left style="hair">
        <color indexed="64"/>
      </left>
      <right style="hair">
        <color indexed="64"/>
      </right>
      <top style="dashed">
        <color indexed="64"/>
      </top>
      <bottom style="dotted">
        <color indexed="64"/>
      </bottom>
      <diagonal/>
    </border>
    <border>
      <left style="hair">
        <color indexed="64"/>
      </left>
      <right style="thin">
        <color indexed="64"/>
      </right>
      <top style="dashed">
        <color indexed="64"/>
      </top>
      <bottom style="dotted">
        <color indexed="64"/>
      </bottom>
      <diagonal/>
    </border>
    <border>
      <left style="thin">
        <color indexed="64"/>
      </left>
      <right/>
      <top style="dashed">
        <color indexed="64"/>
      </top>
      <bottom style="hair">
        <color indexed="64"/>
      </bottom>
      <diagonal/>
    </border>
    <border>
      <left style="hair">
        <color indexed="64"/>
      </left>
      <right style="thin">
        <color indexed="64"/>
      </right>
      <top style="dashed">
        <color indexed="64"/>
      </top>
      <bottom/>
      <diagonal/>
    </border>
    <border>
      <left style="hair">
        <color indexed="64"/>
      </left>
      <right style="hair">
        <color indexed="64"/>
      </right>
      <top style="dotted">
        <color indexed="64"/>
      </top>
      <bottom style="dashed">
        <color indexed="64"/>
      </bottom>
      <diagonal/>
    </border>
    <border>
      <left style="hair">
        <color indexed="64"/>
      </left>
      <right style="thin">
        <color indexed="64"/>
      </right>
      <top style="dotted">
        <color indexed="64"/>
      </top>
      <bottom style="dashed">
        <color indexed="64"/>
      </bottom>
      <diagonal/>
    </border>
    <border>
      <left/>
      <right/>
      <top/>
      <bottom style="dashed">
        <color indexed="64"/>
      </bottom>
      <diagonal/>
    </border>
    <border>
      <left/>
      <right style="hair">
        <color indexed="64"/>
      </right>
      <top/>
      <bottom style="dashed">
        <color indexed="64"/>
      </bottom>
      <diagonal/>
    </border>
    <border>
      <left/>
      <right style="medium">
        <color indexed="64"/>
      </right>
      <top style="thin">
        <color indexed="64"/>
      </top>
      <bottom style="thin">
        <color indexed="64"/>
      </bottom>
      <diagonal/>
    </border>
    <border>
      <left style="double">
        <color indexed="64"/>
      </left>
      <right/>
      <top style="medium">
        <color indexed="64"/>
      </top>
      <bottom style="medium">
        <color indexed="64"/>
      </bottom>
      <diagonal/>
    </border>
    <border>
      <left style="double">
        <color indexed="64"/>
      </left>
      <right style="double">
        <color indexed="64"/>
      </right>
      <top/>
      <bottom style="thin">
        <color indexed="64"/>
      </bottom>
      <diagonal/>
    </border>
    <border>
      <left style="dotted">
        <color indexed="64"/>
      </left>
      <right/>
      <top/>
      <bottom style="dashed">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top style="double">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diagonalUp="1">
      <left/>
      <right style="medium">
        <color indexed="64"/>
      </right>
      <top style="thin">
        <color indexed="64"/>
      </top>
      <bottom style="thin">
        <color indexed="64"/>
      </bottom>
      <diagonal style="thin">
        <color indexed="64"/>
      </diagonal>
    </border>
    <border diagonalUp="1">
      <left style="double">
        <color indexed="64"/>
      </left>
      <right style="double">
        <color indexed="64"/>
      </right>
      <top style="thin">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right/>
      <top style="double">
        <color indexed="64"/>
      </top>
      <bottom/>
      <diagonal/>
    </border>
    <border>
      <left style="double">
        <color indexed="64"/>
      </left>
      <right style="double">
        <color indexed="64"/>
      </right>
      <top/>
      <bottom style="medium">
        <color indexed="64"/>
      </bottom>
      <diagonal/>
    </border>
    <border>
      <left/>
      <right style="dotted">
        <color indexed="64"/>
      </right>
      <top style="thin">
        <color indexed="64"/>
      </top>
      <bottom style="thin">
        <color indexed="64"/>
      </bottom>
      <diagonal/>
    </border>
    <border>
      <left/>
      <right style="dotted">
        <color indexed="64"/>
      </right>
      <top style="medium">
        <color indexed="64"/>
      </top>
      <bottom style="hair">
        <color indexed="64"/>
      </bottom>
      <diagonal/>
    </border>
    <border>
      <left style="dotted">
        <color indexed="64"/>
      </left>
      <right/>
      <top style="medium">
        <color indexed="64"/>
      </top>
      <bottom style="hair">
        <color indexed="64"/>
      </bottom>
      <diagonal/>
    </border>
    <border>
      <left/>
      <right style="thin">
        <color indexed="64"/>
      </right>
      <top style="medium">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thin">
        <color indexed="64"/>
      </top>
      <bottom style="hair">
        <color indexed="64"/>
      </bottom>
      <diagonal/>
    </border>
    <border>
      <left style="hair">
        <color indexed="64"/>
      </left>
      <right/>
      <top style="hair">
        <color indexed="64"/>
      </top>
      <bottom style="dashed">
        <color indexed="64"/>
      </bottom>
      <diagonal/>
    </border>
    <border>
      <left style="dotted">
        <color indexed="64"/>
      </left>
      <right/>
      <top style="hair">
        <color indexed="64"/>
      </top>
      <bottom style="dashed">
        <color indexed="64"/>
      </bottom>
      <diagonal/>
    </border>
    <border>
      <left style="dotted">
        <color indexed="64"/>
      </left>
      <right style="thin">
        <color auto="1"/>
      </right>
      <top style="medium">
        <color indexed="64"/>
      </top>
      <bottom/>
      <diagonal/>
    </border>
    <border>
      <left style="dotted">
        <color indexed="64"/>
      </left>
      <right style="thin">
        <color auto="1"/>
      </right>
      <top/>
      <bottom/>
      <diagonal/>
    </border>
    <border>
      <left style="hair">
        <color indexed="64"/>
      </left>
      <right/>
      <top style="dotted">
        <color indexed="64"/>
      </top>
      <bottom/>
      <diagonal/>
    </border>
    <border>
      <left style="hair">
        <color indexed="64"/>
      </left>
      <right style="thin">
        <color indexed="64"/>
      </right>
      <top style="dashed">
        <color indexed="64"/>
      </top>
      <bottom style="hair">
        <color indexed="64"/>
      </bottom>
      <diagonal/>
    </border>
    <border>
      <left style="hair">
        <color indexed="64"/>
      </left>
      <right style="thin">
        <color indexed="64"/>
      </right>
      <top style="hair">
        <color indexed="64"/>
      </top>
      <bottom style="dashed">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dashed">
        <color indexed="64"/>
      </bottom>
      <diagonal/>
    </border>
    <border>
      <left style="hair">
        <color indexed="64"/>
      </left>
      <right style="dotted">
        <color indexed="64"/>
      </right>
      <top style="dashed">
        <color indexed="64"/>
      </top>
      <bottom/>
      <diagonal/>
    </border>
    <border>
      <left style="hair">
        <color indexed="64"/>
      </left>
      <right style="dotted">
        <color indexed="64"/>
      </right>
      <top/>
      <bottom/>
      <diagonal/>
    </border>
    <border>
      <left style="hair">
        <color indexed="64"/>
      </left>
      <right style="dotted">
        <color indexed="64"/>
      </right>
      <top/>
      <bottom style="dashed">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dotted">
        <color indexed="64"/>
      </right>
      <top style="dotted">
        <color indexed="64"/>
      </top>
      <bottom style="hair">
        <color indexed="64"/>
      </bottom>
      <diagonal/>
    </border>
    <border>
      <left style="dotted">
        <color indexed="64"/>
      </left>
      <right/>
      <top style="dotted">
        <color indexed="64"/>
      </top>
      <bottom style="hair">
        <color indexed="64"/>
      </bottom>
      <diagonal/>
    </border>
    <border>
      <left style="dotted">
        <color indexed="64"/>
      </left>
      <right style="hair">
        <color indexed="64"/>
      </right>
      <top style="hair">
        <color indexed="64"/>
      </top>
      <bottom style="medium">
        <color indexed="64"/>
      </bottom>
      <diagonal/>
    </border>
    <border>
      <left style="dotted">
        <color indexed="64"/>
      </left>
      <right style="hair">
        <color indexed="64"/>
      </right>
      <top style="medium">
        <color indexed="64"/>
      </top>
      <bottom style="dashed">
        <color indexed="64"/>
      </bottom>
      <diagonal/>
    </border>
    <border>
      <left style="hair">
        <color indexed="64"/>
      </left>
      <right style="dotted">
        <color indexed="64"/>
      </right>
      <top style="medium">
        <color indexed="64"/>
      </top>
      <bottom style="dashed">
        <color indexed="64"/>
      </bottom>
      <diagonal/>
    </border>
    <border>
      <left style="dotted">
        <color indexed="64"/>
      </left>
      <right style="hair">
        <color indexed="64"/>
      </right>
      <top style="dashed">
        <color indexed="64"/>
      </top>
      <bottom style="dashed">
        <color indexed="64"/>
      </bottom>
      <diagonal/>
    </border>
    <border>
      <left style="hair">
        <color indexed="64"/>
      </left>
      <right style="dotted">
        <color indexed="64"/>
      </right>
      <top style="dashed">
        <color indexed="64"/>
      </top>
      <bottom style="dashed">
        <color indexed="64"/>
      </bottom>
      <diagonal/>
    </border>
    <border>
      <left style="dotted">
        <color indexed="64"/>
      </left>
      <right style="hair">
        <color indexed="64"/>
      </right>
      <top style="dashed">
        <color indexed="64"/>
      </top>
      <bottom style="thin">
        <color indexed="64"/>
      </bottom>
      <diagonal/>
    </border>
    <border>
      <left style="hair">
        <color indexed="64"/>
      </left>
      <right style="dotted">
        <color indexed="64"/>
      </right>
      <top style="dashed">
        <color indexed="64"/>
      </top>
      <bottom style="thin">
        <color indexed="64"/>
      </bottom>
      <diagonal/>
    </border>
    <border>
      <left/>
      <right style="hair">
        <color indexed="64"/>
      </right>
      <top style="hair">
        <color indexed="64"/>
      </top>
      <bottom style="dotted">
        <color indexed="64"/>
      </bottom>
      <diagonal/>
    </border>
    <border>
      <left style="medium">
        <color indexed="64"/>
      </left>
      <right/>
      <top style="thin">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thin">
        <color indexed="64"/>
      </right>
      <top style="dashed">
        <color indexed="64"/>
      </top>
      <bottom style="thin">
        <color indexed="64"/>
      </bottom>
      <diagonal/>
    </border>
    <border>
      <left style="dotted">
        <color indexed="64"/>
      </left>
      <right style="thin">
        <color indexed="64"/>
      </right>
      <top style="dotted">
        <color indexed="64"/>
      </top>
      <bottom/>
      <diagonal/>
    </border>
    <border>
      <left/>
      <right style="medium">
        <color indexed="64"/>
      </right>
      <top style="thin">
        <color indexed="64"/>
      </top>
      <bottom style="medium">
        <color indexed="64"/>
      </bottom>
      <diagonal/>
    </border>
    <border>
      <left style="thin">
        <color indexed="64"/>
      </left>
      <right style="dotted">
        <color indexed="64"/>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hair">
        <color indexed="64"/>
      </left>
      <right style="dotted">
        <color indexed="64"/>
      </right>
      <top style="hair">
        <color indexed="64"/>
      </top>
      <bottom style="hair">
        <color indexed="64"/>
      </bottom>
      <diagonal/>
    </border>
    <border>
      <left style="hair">
        <color indexed="64"/>
      </left>
      <right/>
      <top style="thin">
        <color indexed="64"/>
      </top>
      <bottom style="dashed">
        <color indexed="64"/>
      </bottom>
      <diagonal/>
    </border>
    <border>
      <left style="thin">
        <color indexed="64"/>
      </left>
      <right style="medium">
        <color indexed="64"/>
      </right>
      <top style="hair">
        <color indexed="64"/>
      </top>
      <bottom/>
      <diagonal/>
    </border>
    <border>
      <left style="dotted">
        <color indexed="64"/>
      </left>
      <right/>
      <top style="dashed">
        <color indexed="64"/>
      </top>
      <bottom style="hair">
        <color indexed="64"/>
      </bottom>
      <diagonal/>
    </border>
    <border>
      <left style="dotted">
        <color indexed="64"/>
      </left>
      <right/>
      <top style="medium">
        <color indexed="64"/>
      </top>
      <bottom style="dashed">
        <color indexed="64"/>
      </bottom>
      <diagonal/>
    </border>
    <border>
      <left/>
      <right style="dotted">
        <color indexed="64"/>
      </right>
      <top style="dashed">
        <color indexed="64"/>
      </top>
      <bottom style="hair">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hair">
        <color indexed="64"/>
      </left>
      <right style="dotted">
        <color indexed="64"/>
      </right>
      <top style="medium">
        <color indexed="64"/>
      </top>
      <bottom/>
      <diagonal/>
    </border>
    <border>
      <left style="hair">
        <color indexed="64"/>
      </left>
      <right style="dotted">
        <color indexed="64"/>
      </right>
      <top style="dotted">
        <color indexed="64"/>
      </top>
      <bottom style="dotted">
        <color indexed="64"/>
      </bottom>
      <diagonal/>
    </border>
    <border>
      <left style="hair">
        <color indexed="64"/>
      </left>
      <right style="dotted">
        <color indexed="64"/>
      </right>
      <top style="thin">
        <color indexed="64"/>
      </top>
      <bottom/>
      <diagonal/>
    </border>
    <border>
      <left style="hair">
        <color indexed="64"/>
      </left>
      <right style="dotted">
        <color indexed="64"/>
      </right>
      <top style="hair">
        <color indexed="64"/>
      </top>
      <bottom style="thin">
        <color indexed="64"/>
      </bottom>
      <diagonal/>
    </border>
    <border>
      <left style="hair">
        <color indexed="64"/>
      </left>
      <right style="dotted">
        <color indexed="64"/>
      </right>
      <top style="dotted">
        <color indexed="64"/>
      </top>
      <bottom style="thin">
        <color indexed="64"/>
      </bottom>
      <diagonal/>
    </border>
    <border>
      <left style="hair">
        <color indexed="64"/>
      </left>
      <right style="dotted">
        <color indexed="64"/>
      </right>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style="hair">
        <color indexed="64"/>
      </top>
      <bottom style="dashed">
        <color indexed="64"/>
      </bottom>
      <diagonal/>
    </border>
    <border>
      <left style="hair">
        <color indexed="64"/>
      </left>
      <right style="hair">
        <color indexed="64"/>
      </right>
      <top style="dashed">
        <color indexed="64"/>
      </top>
      <bottom/>
      <diagonal/>
    </border>
    <border>
      <left style="dotted">
        <color indexed="64"/>
      </left>
      <right/>
      <top/>
      <bottom style="medium">
        <color indexed="64"/>
      </bottom>
      <diagonal/>
    </border>
    <border>
      <left style="hair">
        <color indexed="64"/>
      </left>
      <right style="dotted">
        <color indexed="64"/>
      </right>
      <top style="medium">
        <color indexed="64"/>
      </top>
      <bottom style="hair">
        <color indexed="64"/>
      </bottom>
      <diagonal/>
    </border>
    <border>
      <left style="hair">
        <color indexed="64"/>
      </left>
      <right style="dotted">
        <color indexed="64"/>
      </right>
      <top style="thin">
        <color indexed="64"/>
      </top>
      <bottom style="hair">
        <color indexed="64"/>
      </bottom>
      <diagonal/>
    </border>
    <border>
      <left style="dotted">
        <color indexed="64"/>
      </left>
      <right/>
      <top style="medium">
        <color indexed="64"/>
      </top>
      <bottom/>
      <diagonal/>
    </border>
    <border>
      <left style="thin">
        <color indexed="64"/>
      </left>
      <right style="dotted">
        <color indexed="64"/>
      </right>
      <top style="medium">
        <color indexed="64"/>
      </top>
      <bottom style="dashed">
        <color indexed="64"/>
      </bottom>
      <diagonal/>
    </border>
    <border>
      <left style="dotted">
        <color indexed="64"/>
      </left>
      <right style="dotted">
        <color indexed="64"/>
      </right>
      <top style="medium">
        <color indexed="64"/>
      </top>
      <bottom style="dashed">
        <color indexed="64"/>
      </bottom>
      <diagonal/>
    </border>
    <border>
      <left style="dotted">
        <color indexed="64"/>
      </left>
      <right style="thin">
        <color indexed="64"/>
      </right>
      <top style="medium">
        <color indexed="64"/>
      </top>
      <bottom style="dashed">
        <color indexed="64"/>
      </bottom>
      <diagonal/>
    </border>
    <border>
      <left/>
      <right style="double">
        <color indexed="64"/>
      </right>
      <top style="thin">
        <color indexed="64"/>
      </top>
      <bottom/>
      <diagonal/>
    </border>
    <border>
      <left/>
      <right style="double">
        <color indexed="64"/>
      </right>
      <top/>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top style="dotted">
        <color indexed="64"/>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hair">
        <color indexed="64"/>
      </bottom>
      <diagonal/>
    </border>
    <border>
      <left style="dotted">
        <color indexed="64"/>
      </left>
      <right style="dotted">
        <color indexed="64"/>
      </right>
      <top style="dotted">
        <color indexed="64"/>
      </top>
      <bottom style="hair">
        <color indexed="64"/>
      </bottom>
      <diagonal/>
    </border>
    <border>
      <left style="dotted">
        <color indexed="64"/>
      </left>
      <right style="thin">
        <color indexed="64"/>
      </right>
      <top style="dotted">
        <color indexed="64"/>
      </top>
      <bottom style="hair">
        <color indexed="64"/>
      </bottom>
      <diagonal/>
    </border>
    <border>
      <left/>
      <right style="dotted">
        <color indexed="64"/>
      </right>
      <top/>
      <bottom style="dashed">
        <color indexed="64"/>
      </bottom>
      <diagonal/>
    </border>
    <border>
      <left style="thin">
        <color indexed="64"/>
      </left>
      <right style="dotted">
        <color indexed="64"/>
      </right>
      <top style="hair">
        <color indexed="64"/>
      </top>
      <bottom style="dotted">
        <color indexed="64"/>
      </bottom>
      <diagonal/>
    </border>
    <border>
      <left style="dotted">
        <color indexed="64"/>
      </left>
      <right style="dotted">
        <color indexed="64"/>
      </right>
      <top style="hair">
        <color indexed="64"/>
      </top>
      <bottom style="dotted">
        <color indexed="64"/>
      </bottom>
      <diagonal/>
    </border>
    <border>
      <left style="dotted">
        <color indexed="64"/>
      </left>
      <right style="thin">
        <color indexed="64"/>
      </right>
      <top style="hair">
        <color indexed="64"/>
      </top>
      <bottom style="dotted">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dotted">
        <color indexed="64"/>
      </left>
      <right/>
      <top style="dotted">
        <color indexed="64"/>
      </top>
      <bottom style="dashed">
        <color indexed="64"/>
      </bottom>
      <diagonal/>
    </border>
    <border>
      <left/>
      <right style="thin">
        <color indexed="64"/>
      </right>
      <top style="dotted">
        <color indexed="64"/>
      </top>
      <bottom style="dashed">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diagonal style="thin">
        <color indexed="64"/>
      </diagonal>
    </border>
    <border>
      <left style="double">
        <color auto="1"/>
      </left>
      <right style="thin">
        <color auto="1"/>
      </right>
      <top style="medium">
        <color auto="1"/>
      </top>
      <bottom/>
      <diagonal/>
    </border>
    <border>
      <left style="double">
        <color auto="1"/>
      </left>
      <right style="thin">
        <color auto="1"/>
      </right>
      <top/>
      <bottom/>
      <diagonal/>
    </border>
    <border>
      <left style="double">
        <color auto="1"/>
      </left>
      <right style="thin">
        <color auto="1"/>
      </right>
      <top/>
      <bottom style="medium">
        <color indexed="64"/>
      </bottom>
      <diagonal/>
    </border>
    <border diagonalUp="1">
      <left style="double">
        <color auto="1"/>
      </left>
      <right style="thin">
        <color auto="1"/>
      </right>
      <top style="medium">
        <color indexed="64"/>
      </top>
      <bottom/>
      <diagonal style="thin">
        <color indexed="64"/>
      </diagonal>
    </border>
    <border diagonalUp="1">
      <left style="double">
        <color auto="1"/>
      </left>
      <right style="thin">
        <color auto="1"/>
      </right>
      <top/>
      <bottom/>
      <diagonal style="thin">
        <color indexed="64"/>
      </diagonal>
    </border>
    <border diagonalUp="1">
      <left style="double">
        <color auto="1"/>
      </left>
      <right style="thin">
        <color auto="1"/>
      </right>
      <top/>
      <bottom style="medium">
        <color indexed="64"/>
      </bottom>
      <diagonal style="thin">
        <color indexed="64"/>
      </diagonal>
    </border>
  </borders>
  <cellStyleXfs count="15">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0" fillId="0" borderId="0"/>
    <xf numFmtId="0" fontId="11" fillId="0" borderId="0">
      <alignment vertical="center"/>
    </xf>
    <xf numFmtId="0" fontId="14" fillId="0" borderId="0">
      <alignment vertical="center"/>
    </xf>
    <xf numFmtId="0" fontId="7" fillId="0" borderId="0">
      <alignment vertical="center"/>
    </xf>
    <xf numFmtId="0" fontId="71" fillId="0" borderId="0"/>
    <xf numFmtId="0" fontId="76" fillId="0" borderId="0" applyNumberFormat="0" applyFill="0" applyBorder="0" applyAlignment="0" applyProtection="0">
      <alignment vertical="center"/>
    </xf>
    <xf numFmtId="0" fontId="71" fillId="0" borderId="0"/>
    <xf numFmtId="0" fontId="11" fillId="0" borderId="0">
      <alignment vertical="center"/>
    </xf>
    <xf numFmtId="0" fontId="81" fillId="0" borderId="0"/>
  </cellStyleXfs>
  <cellXfs count="2581">
    <xf numFmtId="0" fontId="0" fillId="0" borderId="0" xfId="0">
      <alignment vertical="center"/>
    </xf>
    <xf numFmtId="0" fontId="12" fillId="5" borderId="14" xfId="3" applyNumberFormat="1" applyFont="1" applyFill="1" applyBorder="1" applyAlignment="1" applyProtection="1">
      <alignment horizontal="center" vertical="center"/>
    </xf>
    <xf numFmtId="0" fontId="13" fillId="5" borderId="5" xfId="3" applyNumberFormat="1" applyFont="1" applyFill="1" applyBorder="1" applyAlignment="1" applyProtection="1">
      <alignment horizontal="center" vertical="center"/>
    </xf>
    <xf numFmtId="0" fontId="13" fillId="5" borderId="16" xfId="3" applyNumberFormat="1" applyFont="1" applyFill="1" applyBorder="1" applyAlignment="1" applyProtection="1">
      <alignment horizontal="center" vertical="center"/>
    </xf>
    <xf numFmtId="0" fontId="13" fillId="5" borderId="17" xfId="3" applyNumberFormat="1" applyFont="1" applyFill="1" applyBorder="1" applyAlignment="1" applyProtection="1">
      <alignment horizontal="center" vertical="center"/>
    </xf>
    <xf numFmtId="0" fontId="13" fillId="5" borderId="13" xfId="3" applyNumberFormat="1" applyFont="1" applyFill="1" applyBorder="1" applyAlignment="1" applyProtection="1">
      <alignment horizontal="center" vertical="center"/>
    </xf>
    <xf numFmtId="0" fontId="12" fillId="5" borderId="18" xfId="3" applyNumberFormat="1" applyFont="1" applyFill="1" applyBorder="1" applyAlignment="1" applyProtection="1">
      <alignment horizontal="center" vertical="center"/>
    </xf>
    <xf numFmtId="0" fontId="12" fillId="5" borderId="30" xfId="3" applyNumberFormat="1" applyFont="1" applyFill="1" applyBorder="1" applyAlignment="1" applyProtection="1">
      <alignment horizontal="center" vertical="center"/>
    </xf>
    <xf numFmtId="0" fontId="12" fillId="5" borderId="15" xfId="3" applyNumberFormat="1" applyFont="1" applyFill="1" applyBorder="1" applyAlignment="1" applyProtection="1">
      <alignment horizontal="center" vertical="center"/>
    </xf>
    <xf numFmtId="0" fontId="12" fillId="5" borderId="0" xfId="3" applyNumberFormat="1" applyFont="1" applyFill="1" applyBorder="1" applyAlignment="1" applyProtection="1">
      <alignment horizontal="center" vertical="center"/>
    </xf>
    <xf numFmtId="0" fontId="12" fillId="0" borderId="0" xfId="8" applyFont="1" applyProtection="1">
      <alignment vertical="center"/>
    </xf>
    <xf numFmtId="0" fontId="12" fillId="2" borderId="0" xfId="8" applyFont="1" applyFill="1" applyAlignment="1" applyProtection="1">
      <alignment horizontal="center" vertical="center"/>
    </xf>
    <xf numFmtId="0" fontId="2" fillId="0" borderId="0" xfId="3" applyProtection="1"/>
    <xf numFmtId="0" fontId="13" fillId="5" borderId="7" xfId="3" applyNumberFormat="1" applyFont="1" applyFill="1" applyBorder="1" applyAlignment="1" applyProtection="1">
      <alignment horizontal="center" vertical="center"/>
    </xf>
    <xf numFmtId="0" fontId="13" fillId="5" borderId="3" xfId="3" applyNumberFormat="1" applyFont="1" applyFill="1" applyBorder="1" applyAlignment="1" applyProtection="1">
      <alignment horizontal="center" vertical="center"/>
    </xf>
    <xf numFmtId="0" fontId="13" fillId="5" borderId="7" xfId="3" applyNumberFormat="1" applyFont="1" applyFill="1" applyBorder="1" applyAlignment="1" applyProtection="1">
      <alignment horizontal="center" vertical="center" wrapText="1"/>
    </xf>
    <xf numFmtId="0" fontId="12" fillId="0" borderId="0" xfId="8" applyFont="1" applyFill="1" applyProtection="1">
      <alignment vertical="center"/>
    </xf>
    <xf numFmtId="0" fontId="15" fillId="0" borderId="0" xfId="3" applyNumberFormat="1" applyFont="1" applyBorder="1" applyAlignment="1" applyProtection="1">
      <alignment horizontal="center" vertical="center"/>
    </xf>
    <xf numFmtId="0" fontId="15" fillId="0" borderId="20" xfId="3" applyNumberFormat="1" applyFont="1" applyBorder="1" applyAlignment="1" applyProtection="1">
      <alignment horizontal="center" vertical="center"/>
    </xf>
    <xf numFmtId="0" fontId="12" fillId="0" borderId="0" xfId="3" applyNumberFormat="1" applyFont="1" applyFill="1" applyAlignment="1" applyProtection="1">
      <alignment horizontal="center" vertical="center"/>
    </xf>
    <xf numFmtId="0" fontId="13" fillId="8" borderId="3" xfId="8" applyFont="1" applyFill="1" applyBorder="1" applyAlignment="1" applyProtection="1">
      <alignment vertical="center" wrapText="1"/>
    </xf>
    <xf numFmtId="0" fontId="13" fillId="0" borderId="3" xfId="8" applyFont="1" applyBorder="1" applyAlignment="1" applyProtection="1">
      <alignment vertical="center" wrapText="1"/>
    </xf>
    <xf numFmtId="0" fontId="4" fillId="0" borderId="3" xfId="3" applyFont="1" applyBorder="1" applyAlignment="1" applyProtection="1">
      <alignment horizontal="left" vertical="center" wrapText="1"/>
    </xf>
    <xf numFmtId="0" fontId="12" fillId="0" borderId="103" xfId="3" applyNumberFormat="1" applyFont="1" applyFill="1" applyBorder="1" applyAlignment="1" applyProtection="1">
      <alignment horizontal="center" vertical="center"/>
    </xf>
    <xf numFmtId="0" fontId="12" fillId="0" borderId="18" xfId="3" applyNumberFormat="1" applyFont="1" applyFill="1" applyBorder="1" applyAlignment="1" applyProtection="1">
      <alignment horizontal="center" vertical="center"/>
    </xf>
    <xf numFmtId="0" fontId="12" fillId="0" borderId="18" xfId="3" applyNumberFormat="1" applyFont="1" applyFill="1" applyBorder="1" applyAlignment="1" applyProtection="1">
      <alignment vertical="center"/>
    </xf>
    <xf numFmtId="0" fontId="12" fillId="0" borderId="0" xfId="3" applyNumberFormat="1" applyFont="1" applyFill="1" applyAlignment="1" applyProtection="1">
      <alignment vertical="center"/>
    </xf>
    <xf numFmtId="0" fontId="13" fillId="0" borderId="0" xfId="8" applyFont="1" applyProtection="1">
      <alignment vertical="center"/>
    </xf>
    <xf numFmtId="0" fontId="13" fillId="2" borderId="0" xfId="8" applyFont="1" applyFill="1" applyAlignment="1" applyProtection="1">
      <alignment horizontal="center" vertical="center"/>
    </xf>
    <xf numFmtId="0" fontId="13" fillId="9" borderId="20" xfId="8" applyNumberFormat="1" applyFont="1" applyFill="1" applyBorder="1" applyProtection="1">
      <alignment vertical="center"/>
    </xf>
    <xf numFmtId="0" fontId="13" fillId="0" borderId="0" xfId="8" applyNumberFormat="1" applyFont="1" applyFill="1" applyBorder="1" applyProtection="1">
      <alignment vertical="center"/>
    </xf>
    <xf numFmtId="0" fontId="2" fillId="0" borderId="30" xfId="3" applyBorder="1" applyProtection="1"/>
    <xf numFmtId="0" fontId="2" fillId="0" borderId="15" xfId="3" applyBorder="1" applyProtection="1"/>
    <xf numFmtId="0" fontId="13" fillId="0" borderId="0" xfId="8" applyFont="1">
      <alignment vertical="center"/>
    </xf>
    <xf numFmtId="0" fontId="12" fillId="0" borderId="0" xfId="3" applyNumberFormat="1" applyFont="1" applyFill="1" applyBorder="1" applyAlignment="1" applyProtection="1">
      <alignment horizontal="center" vertical="center"/>
    </xf>
    <xf numFmtId="0" fontId="2" fillId="0" borderId="0" xfId="3" applyBorder="1" applyProtection="1"/>
    <xf numFmtId="0" fontId="2" fillId="0" borderId="14" xfId="3" applyBorder="1" applyProtection="1"/>
    <xf numFmtId="0" fontId="13" fillId="0" borderId="20" xfId="8" applyNumberFormat="1" applyFont="1" applyFill="1" applyBorder="1" applyProtection="1">
      <alignment vertical="center"/>
    </xf>
    <xf numFmtId="0" fontId="16" fillId="0" borderId="0" xfId="8" applyFont="1">
      <alignment vertical="center"/>
    </xf>
    <xf numFmtId="0" fontId="13" fillId="0" borderId="19" xfId="8" applyNumberFormat="1" applyFont="1" applyFill="1" applyBorder="1" applyProtection="1">
      <alignment vertical="center"/>
    </xf>
    <xf numFmtId="0" fontId="13" fillId="0" borderId="9" xfId="8" applyNumberFormat="1" applyFont="1" applyFill="1" applyBorder="1" applyProtection="1">
      <alignment vertical="center"/>
    </xf>
    <xf numFmtId="0" fontId="2" fillId="0" borderId="9" xfId="3" applyBorder="1" applyProtection="1"/>
    <xf numFmtId="0" fontId="2" fillId="0" borderId="12" xfId="3" applyBorder="1" applyProtection="1"/>
    <xf numFmtId="0" fontId="13" fillId="0" borderId="0" xfId="8" applyNumberFormat="1" applyFont="1" applyFill="1" applyProtection="1">
      <alignment vertical="center"/>
    </xf>
    <xf numFmtId="0" fontId="16" fillId="0" borderId="0" xfId="8" applyFont="1" applyProtection="1">
      <alignment vertical="center"/>
    </xf>
    <xf numFmtId="0" fontId="12" fillId="0" borderId="18" xfId="3" applyNumberFormat="1" applyFont="1" applyFill="1" applyBorder="1" applyAlignment="1" applyProtection="1">
      <alignment horizontal="center" vertical="center" shrinkToFit="1"/>
    </xf>
    <xf numFmtId="0" fontId="12" fillId="0" borderId="18" xfId="3" applyNumberFormat="1" applyFont="1" applyFill="1" applyBorder="1" applyAlignment="1" applyProtection="1">
      <alignment horizontal="right" vertical="center"/>
    </xf>
    <xf numFmtId="0" fontId="12" fillId="0" borderId="18" xfId="3" applyNumberFormat="1" applyFont="1" applyFill="1" applyBorder="1" applyAlignment="1" applyProtection="1">
      <alignment horizontal="left" vertical="center"/>
    </xf>
    <xf numFmtId="0" fontId="16" fillId="0" borderId="18" xfId="3" applyNumberFormat="1" applyFont="1" applyFill="1" applyBorder="1" applyAlignment="1" applyProtection="1">
      <alignment vertical="center"/>
    </xf>
    <xf numFmtId="0" fontId="16" fillId="0" borderId="18" xfId="3" applyNumberFormat="1" applyFont="1" applyFill="1" applyBorder="1" applyAlignment="1" applyProtection="1">
      <alignment horizontal="center" vertical="center"/>
    </xf>
    <xf numFmtId="0" fontId="12" fillId="0" borderId="30" xfId="3" applyNumberFormat="1" applyFont="1" applyFill="1" applyBorder="1" applyAlignment="1" applyProtection="1">
      <alignment horizontal="center" vertical="center"/>
    </xf>
    <xf numFmtId="0" fontId="15" fillId="10" borderId="103" xfId="3" applyFont="1" applyFill="1" applyBorder="1" applyAlignment="1" applyProtection="1">
      <alignment vertical="center"/>
    </xf>
    <xf numFmtId="0" fontId="15" fillId="0" borderId="18" xfId="3" applyNumberFormat="1" applyFont="1" applyBorder="1" applyAlignment="1" applyProtection="1">
      <alignment horizontal="center" vertical="center"/>
    </xf>
    <xf numFmtId="0" fontId="15" fillId="0" borderId="18" xfId="3" applyFont="1" applyBorder="1" applyAlignment="1" applyProtection="1">
      <alignment horizontal="center" vertical="center"/>
    </xf>
    <xf numFmtId="0" fontId="15" fillId="0" borderId="18" xfId="3" applyFont="1" applyBorder="1" applyAlignment="1" applyProtection="1">
      <alignment vertical="center"/>
    </xf>
    <xf numFmtId="0" fontId="15" fillId="0" borderId="18" xfId="3" applyFont="1" applyFill="1" applyBorder="1" applyAlignment="1" applyProtection="1">
      <alignment vertical="center"/>
    </xf>
    <xf numFmtId="0" fontId="15" fillId="0" borderId="18" xfId="3" applyFont="1" applyFill="1" applyBorder="1" applyAlignment="1" applyProtection="1">
      <alignment horizontal="center" vertical="center"/>
    </xf>
    <xf numFmtId="1" fontId="12" fillId="0" borderId="0" xfId="3" applyNumberFormat="1" applyFont="1" applyAlignment="1" applyProtection="1">
      <alignment vertical="center"/>
    </xf>
    <xf numFmtId="0" fontId="4" fillId="2" borderId="125" xfId="3" applyFont="1" applyFill="1" applyBorder="1" applyAlignment="1" applyProtection="1">
      <alignment horizontal="center" vertical="center" shrinkToFit="1"/>
    </xf>
    <xf numFmtId="0" fontId="4" fillId="2" borderId="109" xfId="3" applyFont="1" applyFill="1" applyBorder="1" applyAlignment="1" applyProtection="1">
      <alignment horizontal="center" vertical="center" shrinkToFit="1"/>
    </xf>
    <xf numFmtId="0" fontId="4" fillId="0" borderId="0" xfId="3" applyFont="1" applyAlignment="1" applyProtection="1">
      <alignment shrinkToFit="1"/>
    </xf>
    <xf numFmtId="0" fontId="22" fillId="0" borderId="0" xfId="3" applyFont="1" applyFill="1" applyBorder="1" applyAlignment="1" applyProtection="1">
      <alignment horizontal="left"/>
    </xf>
    <xf numFmtId="0" fontId="2" fillId="0" borderId="0" xfId="3" applyAlignment="1">
      <alignment horizontal="left"/>
    </xf>
    <xf numFmtId="0" fontId="2" fillId="0" borderId="0" xfId="3" applyFill="1" applyBorder="1" applyAlignment="1">
      <alignment horizontal="left"/>
    </xf>
    <xf numFmtId="0" fontId="2" fillId="0" borderId="0" xfId="3"/>
    <xf numFmtId="0" fontId="6" fillId="0" borderId="0" xfId="3" applyFont="1" applyFill="1" applyBorder="1" applyAlignment="1" applyProtection="1">
      <alignment horizontal="left" vertical="center"/>
    </xf>
    <xf numFmtId="0" fontId="5" fillId="10" borderId="126" xfId="3" applyFont="1" applyFill="1" applyBorder="1" applyAlignment="1">
      <alignment horizontal="center" vertical="center"/>
    </xf>
    <xf numFmtId="0" fontId="5" fillId="10" borderId="127" xfId="3" applyFont="1" applyFill="1" applyBorder="1" applyAlignment="1">
      <alignment horizontal="center" vertical="center"/>
    </xf>
    <xf numFmtId="0" fontId="5" fillId="3" borderId="128" xfId="3" applyFont="1" applyFill="1" applyBorder="1" applyAlignment="1">
      <alignment horizontal="center" vertical="center"/>
    </xf>
    <xf numFmtId="0" fontId="5" fillId="3" borderId="127" xfId="3" applyFont="1" applyFill="1" applyBorder="1" applyAlignment="1">
      <alignment horizontal="center" vertical="center"/>
    </xf>
    <xf numFmtId="196" fontId="2" fillId="11" borderId="128" xfId="3" applyNumberFormat="1" applyFill="1" applyBorder="1" applyAlignment="1" applyProtection="1">
      <alignment horizontal="left" shrinkToFit="1"/>
      <protection locked="0"/>
    </xf>
    <xf numFmtId="196" fontId="2" fillId="11" borderId="127" xfId="3" applyNumberFormat="1" applyFill="1" applyBorder="1" applyAlignment="1" applyProtection="1">
      <alignment horizontal="left" shrinkToFit="1"/>
      <protection locked="0"/>
    </xf>
    <xf numFmtId="14" fontId="2" fillId="0" borderId="0" xfId="3" applyNumberFormat="1"/>
    <xf numFmtId="0" fontId="9" fillId="0" borderId="0" xfId="0" applyFont="1" applyBorder="1" applyAlignment="1" applyProtection="1">
      <alignment vertical="center"/>
    </xf>
    <xf numFmtId="0" fontId="9" fillId="0" borderId="0" xfId="0" applyFont="1" applyFill="1" applyBorder="1" applyAlignment="1" applyProtection="1">
      <alignment vertical="center"/>
    </xf>
    <xf numFmtId="0" fontId="9" fillId="0" borderId="66" xfId="0" applyFont="1" applyBorder="1" applyAlignment="1" applyProtection="1">
      <alignment horizontal="center" vertical="center"/>
    </xf>
    <xf numFmtId="0" fontId="9" fillId="0" borderId="57" xfId="0" applyFont="1" applyBorder="1" applyAlignment="1" applyProtection="1">
      <alignment horizontal="center" vertical="center"/>
    </xf>
    <xf numFmtId="0" fontId="9" fillId="0" borderId="0" xfId="0" applyFont="1" applyAlignment="1" applyProtection="1">
      <alignment horizontal="left" vertical="center" wrapText="1"/>
    </xf>
    <xf numFmtId="0" fontId="9" fillId="0" borderId="18" xfId="0" applyFont="1" applyBorder="1" applyAlignment="1" applyProtection="1">
      <alignment horizontal="center" vertical="center" wrapText="1"/>
    </xf>
    <xf numFmtId="0" fontId="9" fillId="0" borderId="21" xfId="0" applyFont="1" applyBorder="1" applyAlignment="1" applyProtection="1">
      <alignment horizontal="center" vertical="center"/>
    </xf>
    <xf numFmtId="0" fontId="24" fillId="0" borderId="0" xfId="0" applyFont="1" applyAlignment="1" applyProtection="1">
      <alignment horizontal="center" vertical="center"/>
    </xf>
    <xf numFmtId="0" fontId="9" fillId="0" borderId="0" xfId="0" applyFont="1" applyFill="1" applyAlignment="1" applyProtection="1">
      <alignment horizontal="center" vertical="center"/>
    </xf>
    <xf numFmtId="0" fontId="9" fillId="0" borderId="3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0" xfId="0" applyFont="1" applyBorder="1" applyAlignment="1" applyProtection="1">
      <alignment vertical="center" wrapText="1"/>
    </xf>
    <xf numFmtId="14" fontId="9" fillId="0" borderId="3" xfId="0" applyNumberFormat="1" applyFont="1" applyBorder="1" applyAlignment="1" applyProtection="1">
      <alignment horizontal="center" vertical="center"/>
    </xf>
    <xf numFmtId="0" fontId="9" fillId="0" borderId="3" xfId="0" applyFont="1" applyFill="1" applyBorder="1" applyAlignment="1" applyProtection="1">
      <alignment horizontal="center" vertical="center"/>
    </xf>
    <xf numFmtId="0" fontId="9" fillId="0" borderId="0" xfId="0" applyFont="1" applyAlignment="1" applyProtection="1">
      <alignment vertical="center"/>
    </xf>
    <xf numFmtId="0" fontId="9" fillId="0" borderId="5" xfId="0" applyFont="1" applyBorder="1" applyAlignment="1" applyProtection="1">
      <alignment vertical="center"/>
    </xf>
    <xf numFmtId="0" fontId="9" fillId="0" borderId="16" xfId="0" applyFont="1" applyBorder="1" applyAlignment="1" applyProtection="1">
      <alignment vertical="center"/>
    </xf>
    <xf numFmtId="0" fontId="9" fillId="0" borderId="3" xfId="0" applyFont="1" applyBorder="1" applyAlignment="1" applyProtection="1">
      <alignment vertical="center"/>
    </xf>
    <xf numFmtId="0" fontId="9" fillId="0" borderId="13" xfId="0" applyFont="1" applyBorder="1" applyAlignment="1" applyProtection="1">
      <alignment vertical="center"/>
    </xf>
    <xf numFmtId="0" fontId="9" fillId="0" borderId="17" xfId="0" applyFont="1" applyBorder="1" applyAlignment="1" applyProtection="1">
      <alignment vertical="center"/>
    </xf>
    <xf numFmtId="0" fontId="26" fillId="0" borderId="3" xfId="0" applyFont="1" applyBorder="1" applyAlignment="1" applyProtection="1">
      <alignment vertical="center"/>
    </xf>
    <xf numFmtId="0" fontId="9" fillId="0" borderId="3" xfId="0" applyFont="1" applyFill="1" applyBorder="1" applyAlignment="1" applyProtection="1">
      <alignment vertical="center"/>
    </xf>
    <xf numFmtId="0" fontId="9" fillId="0" borderId="16" xfId="0" applyFont="1" applyFill="1" applyBorder="1" applyAlignment="1" applyProtection="1">
      <alignment vertical="center"/>
    </xf>
    <xf numFmtId="0" fontId="9" fillId="0" borderId="8" xfId="0" applyFont="1" applyFill="1" applyBorder="1" applyAlignment="1" applyProtection="1">
      <alignment vertical="center"/>
    </xf>
    <xf numFmtId="0" fontId="9" fillId="0" borderId="17" xfId="0" applyFont="1" applyFill="1" applyBorder="1" applyAlignment="1" applyProtection="1">
      <alignment vertical="center"/>
    </xf>
    <xf numFmtId="0" fontId="24" fillId="0" borderId="3" xfId="0" applyFont="1" applyBorder="1" applyAlignment="1" applyProtection="1">
      <alignment vertical="center"/>
    </xf>
    <xf numFmtId="0" fontId="9" fillId="0" borderId="0" xfId="0" applyFont="1" applyFill="1" applyAlignment="1" applyProtection="1">
      <alignment vertical="center"/>
    </xf>
    <xf numFmtId="0" fontId="24" fillId="0" borderId="0" xfId="0" applyFont="1" applyAlignment="1" applyProtection="1">
      <alignment vertical="center"/>
    </xf>
    <xf numFmtId="0" fontId="9" fillId="0" borderId="30" xfId="0" applyFont="1" applyFill="1" applyBorder="1" applyAlignment="1" applyProtection="1">
      <alignment vertical="center"/>
    </xf>
    <xf numFmtId="0" fontId="26" fillId="0" borderId="3" xfId="0" applyFont="1" applyBorder="1" applyProtection="1">
      <alignment vertical="center"/>
    </xf>
    <xf numFmtId="0" fontId="18" fillId="0" borderId="0" xfId="0" applyFont="1" applyAlignment="1" applyProtection="1">
      <alignment vertical="center"/>
    </xf>
    <xf numFmtId="0" fontId="24" fillId="0" borderId="0" xfId="0" applyFont="1" applyBorder="1" applyAlignment="1" applyProtection="1">
      <alignment vertical="center"/>
    </xf>
    <xf numFmtId="0" fontId="24" fillId="0" borderId="0" xfId="0" applyFont="1" applyProtection="1">
      <alignment vertical="center"/>
    </xf>
    <xf numFmtId="0" fontId="24" fillId="0" borderId="3" xfId="0" applyFont="1" applyBorder="1" applyProtection="1">
      <alignment vertical="center"/>
    </xf>
    <xf numFmtId="0" fontId="24" fillId="0" borderId="0" xfId="0" applyFont="1" applyBorder="1" applyAlignment="1" applyProtection="1">
      <alignment vertical="center" shrinkToFit="1"/>
    </xf>
    <xf numFmtId="0" fontId="24" fillId="0" borderId="16" xfId="0" applyFont="1" applyBorder="1" applyAlignment="1" applyProtection="1">
      <alignment vertical="center"/>
    </xf>
    <xf numFmtId="0" fontId="24" fillId="0" borderId="33" xfId="0" applyFont="1" applyBorder="1" applyAlignment="1" applyProtection="1">
      <alignment vertical="center"/>
    </xf>
    <xf numFmtId="0" fontId="34" fillId="0" borderId="0" xfId="3" applyFont="1" applyAlignment="1" applyProtection="1">
      <alignment horizontal="right" vertical="center" textRotation="180" shrinkToFit="1"/>
    </xf>
    <xf numFmtId="0" fontId="34" fillId="2" borderId="0" xfId="3" applyFont="1" applyFill="1" applyAlignment="1" applyProtection="1">
      <alignment horizontal="left" vertical="center"/>
    </xf>
    <xf numFmtId="0" fontId="34" fillId="2" borderId="0" xfId="3" applyFont="1" applyFill="1" applyAlignment="1" applyProtection="1">
      <alignment vertical="center" shrinkToFit="1"/>
    </xf>
    <xf numFmtId="0" fontId="4" fillId="0" borderId="3" xfId="3" applyFont="1" applyBorder="1" applyAlignment="1" applyProtection="1">
      <alignment horizontal="center" vertical="center" shrinkToFit="1"/>
    </xf>
    <xf numFmtId="0" fontId="4" fillId="2" borderId="3" xfId="3" applyFont="1" applyFill="1" applyBorder="1" applyAlignment="1" applyProtection="1">
      <alignment horizontal="center" vertical="center" shrinkToFit="1"/>
    </xf>
    <xf numFmtId="0" fontId="4" fillId="0" borderId="3" xfId="3" applyFont="1" applyBorder="1" applyAlignment="1" applyProtection="1">
      <alignment shrinkToFit="1"/>
    </xf>
    <xf numFmtId="0" fontId="34" fillId="0" borderId="0" xfId="3" applyFont="1" applyAlignment="1" applyProtection="1">
      <alignment vertical="center" shrinkToFit="1"/>
    </xf>
    <xf numFmtId="0" fontId="4" fillId="0" borderId="0" xfId="3" applyFont="1" applyAlignment="1" applyProtection="1">
      <alignment horizontal="right" vertical="center" textRotation="180" shrinkToFit="1"/>
    </xf>
    <xf numFmtId="0" fontId="34" fillId="2" borderId="38" xfId="3" applyFont="1" applyFill="1" applyBorder="1" applyAlignment="1" applyProtection="1">
      <alignment horizontal="right" vertical="center" shrinkToFit="1"/>
    </xf>
    <xf numFmtId="0" fontId="4" fillId="2" borderId="0" xfId="3" applyFont="1" applyFill="1" applyBorder="1" applyAlignment="1" applyProtection="1">
      <alignment vertical="center" shrinkToFit="1"/>
    </xf>
    <xf numFmtId="0" fontId="4" fillId="0" borderId="0" xfId="3" applyFont="1" applyAlignment="1" applyProtection="1">
      <alignment vertical="top" textRotation="180" shrinkToFit="1"/>
    </xf>
    <xf numFmtId="0" fontId="4" fillId="2" borderId="0" xfId="3" applyFont="1" applyFill="1" applyBorder="1" applyAlignment="1" applyProtection="1">
      <alignment horizontal="right" vertical="center"/>
    </xf>
    <xf numFmtId="0" fontId="4" fillId="2" borderId="0" xfId="3" applyFont="1" applyFill="1" applyAlignment="1" applyProtection="1">
      <alignment shrinkToFit="1"/>
    </xf>
    <xf numFmtId="0" fontId="4" fillId="0" borderId="0" xfId="3" applyFont="1" applyBorder="1" applyAlignment="1" applyProtection="1">
      <alignment shrinkToFit="1"/>
    </xf>
    <xf numFmtId="0" fontId="4" fillId="0" borderId="30" xfId="3" applyFont="1" applyBorder="1" applyAlignment="1" applyProtection="1">
      <alignment shrinkToFit="1"/>
    </xf>
    <xf numFmtId="194" fontId="4" fillId="0" borderId="0" xfId="3" applyNumberFormat="1" applyFont="1" applyBorder="1" applyAlignment="1" applyProtection="1">
      <alignment horizontal="center" vertical="center" shrinkToFit="1"/>
    </xf>
    <xf numFmtId="194" fontId="4" fillId="0" borderId="0" xfId="3" applyNumberFormat="1" applyFont="1" applyAlignment="1" applyProtection="1">
      <alignment shrinkToFit="1"/>
    </xf>
    <xf numFmtId="0" fontId="8" fillId="2" borderId="0" xfId="3" applyFont="1" applyFill="1" applyAlignment="1" applyProtection="1">
      <alignment vertical="center" shrinkToFit="1"/>
    </xf>
    <xf numFmtId="0" fontId="8" fillId="2" borderId="0" xfId="3" applyFont="1" applyFill="1" applyBorder="1" applyAlignment="1" applyProtection="1">
      <alignment vertical="center" shrinkToFit="1"/>
    </xf>
    <xf numFmtId="0" fontId="9" fillId="0" borderId="17" xfId="0" applyFont="1" applyBorder="1" applyProtection="1">
      <alignment vertical="center"/>
    </xf>
    <xf numFmtId="0" fontId="9" fillId="0" borderId="3" xfId="0" applyFont="1" applyBorder="1" applyProtection="1">
      <alignment vertical="center"/>
    </xf>
    <xf numFmtId="0" fontId="9" fillId="0" borderId="3" xfId="0" applyFont="1" applyFill="1" applyBorder="1" applyProtection="1">
      <alignment vertical="center"/>
    </xf>
    <xf numFmtId="0" fontId="9" fillId="0" borderId="17" xfId="0" applyFont="1" applyFill="1" applyBorder="1" applyProtection="1">
      <alignment vertical="center"/>
    </xf>
    <xf numFmtId="0" fontId="24" fillId="0" borderId="3" xfId="0" applyFont="1" applyBorder="1" applyAlignment="1" applyProtection="1"/>
    <xf numFmtId="0" fontId="9" fillId="0" borderId="0" xfId="0" applyFont="1" applyFill="1" applyProtection="1">
      <alignment vertical="center"/>
    </xf>
    <xf numFmtId="0" fontId="9" fillId="0" borderId="0" xfId="0" applyFont="1" applyProtection="1">
      <alignment vertical="center"/>
    </xf>
    <xf numFmtId="0" fontId="24" fillId="0" borderId="3" xfId="0" applyFont="1" applyFill="1" applyBorder="1" applyProtection="1">
      <alignment vertical="center"/>
    </xf>
    <xf numFmtId="0" fontId="9" fillId="0" borderId="0" xfId="0" applyFont="1" applyFill="1" applyBorder="1" applyAlignment="1" applyProtection="1">
      <alignment vertical="center" shrinkToFit="1"/>
    </xf>
    <xf numFmtId="180" fontId="24" fillId="0" borderId="0" xfId="0" applyNumberFormat="1" applyFont="1" applyBorder="1" applyAlignment="1" applyProtection="1">
      <alignment vertical="center" shrinkToFit="1"/>
    </xf>
    <xf numFmtId="0" fontId="24" fillId="0" borderId="13" xfId="0" applyFont="1" applyBorder="1" applyAlignment="1" applyProtection="1">
      <alignment horizontal="center" vertical="center"/>
    </xf>
    <xf numFmtId="49" fontId="18" fillId="0" borderId="3" xfId="9" applyNumberFormat="1" applyFont="1" applyFill="1" applyBorder="1" applyAlignment="1" applyProtection="1">
      <alignment horizontal="center" vertical="center" shrinkToFit="1"/>
    </xf>
    <xf numFmtId="49" fontId="19" fillId="0" borderId="3" xfId="9" applyNumberFormat="1" applyFont="1" applyFill="1" applyBorder="1" applyAlignment="1" applyProtection="1">
      <alignment vertical="center" shrinkToFit="1"/>
    </xf>
    <xf numFmtId="49" fontId="18" fillId="0" borderId="3" xfId="9" applyNumberFormat="1" applyFont="1" applyFill="1" applyBorder="1" applyAlignment="1" applyProtection="1">
      <alignment vertical="center" shrinkToFit="1"/>
    </xf>
    <xf numFmtId="49" fontId="20" fillId="0" borderId="3" xfId="9" applyNumberFormat="1" applyFont="1" applyFill="1" applyBorder="1" applyAlignment="1" applyProtection="1">
      <alignment vertical="center" shrinkToFit="1"/>
    </xf>
    <xf numFmtId="0" fontId="18" fillId="0" borderId="0" xfId="9" applyNumberFormat="1" applyFont="1" applyFill="1" applyBorder="1" applyProtection="1">
      <alignment vertical="center"/>
    </xf>
    <xf numFmtId="49" fontId="21" fillId="0" borderId="0" xfId="2" applyNumberFormat="1" applyFont="1" applyFill="1" applyBorder="1" applyAlignment="1" applyProtection="1">
      <alignment horizontal="right" vertical="center" shrinkToFit="1"/>
    </xf>
    <xf numFmtId="0" fontId="18" fillId="0" borderId="0" xfId="0" applyFont="1" applyProtection="1">
      <alignment vertical="center"/>
    </xf>
    <xf numFmtId="0" fontId="18" fillId="0" borderId="0" xfId="0" applyFont="1" applyBorder="1" applyAlignment="1" applyProtection="1">
      <alignment vertical="center"/>
    </xf>
    <xf numFmtId="0" fontId="9" fillId="0" borderId="0" xfId="3" applyFont="1" applyBorder="1" applyAlignment="1" applyProtection="1">
      <alignment vertical="center"/>
    </xf>
    <xf numFmtId="0" fontId="18" fillId="0" borderId="20" xfId="0" applyFont="1" applyBorder="1" applyProtection="1">
      <alignment vertical="center"/>
    </xf>
    <xf numFmtId="0" fontId="18" fillId="0" borderId="0" xfId="0" applyFont="1" applyBorder="1" applyProtection="1">
      <alignment vertical="center"/>
    </xf>
    <xf numFmtId="0" fontId="18" fillId="0" borderId="14" xfId="0" applyFont="1" applyBorder="1" applyProtection="1">
      <alignment vertical="center"/>
    </xf>
    <xf numFmtId="0" fontId="18" fillId="0" borderId="19" xfId="0" applyFont="1" applyBorder="1" applyProtection="1">
      <alignment vertical="center"/>
    </xf>
    <xf numFmtId="0" fontId="18" fillId="0" borderId="9" xfId="0" applyFont="1" applyBorder="1" applyProtection="1">
      <alignment vertical="center"/>
    </xf>
    <xf numFmtId="0" fontId="18" fillId="0" borderId="12" xfId="0" applyFont="1" applyBorder="1" applyProtection="1">
      <alignment vertical="center"/>
    </xf>
    <xf numFmtId="9" fontId="9" fillId="0" borderId="0" xfId="5" applyFont="1" applyFill="1" applyBorder="1" applyAlignment="1" applyProtection="1">
      <alignment vertical="center" shrinkToFit="1"/>
    </xf>
    <xf numFmtId="0" fontId="9" fillId="0" borderId="42" xfId="0" applyFont="1" applyBorder="1" applyAlignment="1" applyProtection="1">
      <alignment horizontal="center" vertical="center"/>
    </xf>
    <xf numFmtId="0" fontId="9" fillId="0" borderId="2" xfId="0" applyFont="1" applyFill="1" applyBorder="1" applyAlignment="1" applyProtection="1">
      <alignment vertical="center" shrinkToFit="1"/>
    </xf>
    <xf numFmtId="0" fontId="24" fillId="0" borderId="4" xfId="0" applyFont="1" applyBorder="1" applyAlignment="1" applyProtection="1">
      <alignment vertical="center" shrinkToFit="1"/>
    </xf>
    <xf numFmtId="0" fontId="9" fillId="0" borderId="0" xfId="0" applyFont="1" applyFill="1" applyBorder="1" applyAlignment="1" applyProtection="1">
      <alignment horizontal="left" vertical="center" wrapText="1"/>
    </xf>
    <xf numFmtId="0" fontId="9" fillId="0" borderId="0" xfId="0" applyFont="1" applyFill="1" applyAlignment="1" applyProtection="1">
      <alignment horizontal="left" vertical="center" wrapText="1"/>
    </xf>
    <xf numFmtId="14" fontId="9" fillId="4" borderId="157" xfId="3" applyNumberFormat="1" applyFont="1" applyFill="1" applyBorder="1" applyAlignment="1" applyProtection="1">
      <alignment vertical="center" shrinkToFit="1"/>
      <protection locked="0"/>
    </xf>
    <xf numFmtId="0" fontId="4" fillId="2" borderId="160" xfId="3" applyFont="1" applyFill="1" applyBorder="1" applyAlignment="1" applyProtection="1">
      <alignment horizontal="center" vertical="center" shrinkToFit="1"/>
    </xf>
    <xf numFmtId="195" fontId="21" fillId="4" borderId="164" xfId="3" applyNumberFormat="1" applyFont="1" applyFill="1" applyBorder="1" applyAlignment="1" applyProtection="1">
      <alignment horizontal="right" vertical="center" shrinkToFit="1"/>
      <protection locked="0"/>
    </xf>
    <xf numFmtId="0" fontId="4" fillId="2" borderId="156" xfId="3" applyFont="1" applyFill="1" applyBorder="1" applyAlignment="1" applyProtection="1">
      <alignment horizontal="center" vertical="center" shrinkToFit="1"/>
    </xf>
    <xf numFmtId="195" fontId="21" fillId="4" borderId="148" xfId="3" applyNumberFormat="1" applyFont="1" applyFill="1" applyBorder="1" applyAlignment="1" applyProtection="1">
      <alignment horizontal="right" vertical="center" shrinkToFit="1"/>
      <protection locked="0"/>
    </xf>
    <xf numFmtId="0" fontId="4" fillId="2" borderId="154" xfId="3" applyFont="1" applyFill="1" applyBorder="1" applyAlignment="1" applyProtection="1">
      <alignment horizontal="center" vertical="center" shrinkToFit="1"/>
    </xf>
    <xf numFmtId="195" fontId="21" fillId="4" borderId="150" xfId="3" applyNumberFormat="1" applyFont="1" applyFill="1" applyBorder="1" applyAlignment="1" applyProtection="1">
      <alignment horizontal="right" vertical="center" shrinkToFit="1"/>
      <protection locked="0"/>
    </xf>
    <xf numFmtId="0" fontId="24" fillId="6" borderId="163" xfId="0" applyFont="1" applyFill="1" applyBorder="1" applyAlignment="1" applyProtection="1">
      <alignment horizontal="center" vertical="center" shrinkToFit="1"/>
      <protection locked="0"/>
    </xf>
    <xf numFmtId="0" fontId="24" fillId="6" borderId="159" xfId="0" applyFont="1" applyFill="1" applyBorder="1" applyAlignment="1" applyProtection="1">
      <alignment horizontal="center" vertical="center" shrinkToFit="1"/>
      <protection locked="0"/>
    </xf>
    <xf numFmtId="0" fontId="24" fillId="6" borderId="168" xfId="0" applyFont="1" applyFill="1" applyBorder="1" applyAlignment="1" applyProtection="1">
      <alignment horizontal="center" vertical="center" shrinkToFit="1"/>
      <protection locked="0"/>
    </xf>
    <xf numFmtId="0" fontId="24" fillId="0" borderId="0" xfId="0" applyFont="1" applyFill="1" applyBorder="1" applyProtection="1">
      <alignment vertical="center"/>
    </xf>
    <xf numFmtId="0" fontId="0" fillId="0" borderId="3" xfId="0" applyBorder="1" applyProtection="1">
      <alignment vertical="center"/>
    </xf>
    <xf numFmtId="0" fontId="0" fillId="0" borderId="3" xfId="0" applyBorder="1" applyAlignment="1" applyProtection="1">
      <alignment horizontal="center" vertical="center"/>
    </xf>
    <xf numFmtId="0" fontId="0" fillId="0" borderId="0" xfId="0" applyProtection="1">
      <alignment vertical="center"/>
    </xf>
    <xf numFmtId="14" fontId="0" fillId="0" borderId="3" xfId="0" applyNumberFormat="1" applyBorder="1" applyProtection="1">
      <alignment vertical="center"/>
    </xf>
    <xf numFmtId="0" fontId="0" fillId="0" borderId="5" xfId="0" applyBorder="1" applyProtection="1">
      <alignment vertical="center"/>
    </xf>
    <xf numFmtId="0" fontId="0" fillId="0" borderId="22" xfId="0" applyBorder="1" applyProtection="1">
      <alignment vertical="center"/>
    </xf>
    <xf numFmtId="0" fontId="0" fillId="0" borderId="24" xfId="0" applyBorder="1" applyProtection="1">
      <alignment vertical="center"/>
    </xf>
    <xf numFmtId="0" fontId="0" fillId="0" borderId="3" xfId="0" applyBorder="1" applyAlignment="1" applyProtection="1">
      <alignment horizontal="center" vertical="center" shrinkToFit="1"/>
    </xf>
    <xf numFmtId="0" fontId="0" fillId="0" borderId="5" xfId="0" applyBorder="1" applyAlignment="1" applyProtection="1">
      <alignment horizontal="center" vertical="center" shrinkToFit="1"/>
    </xf>
    <xf numFmtId="0" fontId="9" fillId="2" borderId="0" xfId="3" applyFont="1" applyFill="1" applyBorder="1" applyAlignment="1" applyProtection="1">
      <alignment shrinkToFit="1"/>
    </xf>
    <xf numFmtId="49" fontId="18" fillId="0" borderId="13" xfId="9" applyNumberFormat="1" applyFont="1" applyFill="1" applyBorder="1" applyAlignment="1" applyProtection="1">
      <alignment horizontal="center" vertical="center" shrinkToFit="1"/>
    </xf>
    <xf numFmtId="0" fontId="9" fillId="2" borderId="0" xfId="3" applyFont="1" applyFill="1" applyBorder="1" applyAlignment="1" applyProtection="1">
      <alignment horizontal="left"/>
    </xf>
    <xf numFmtId="0" fontId="35" fillId="2" borderId="0" xfId="3" applyFont="1" applyFill="1" applyAlignment="1" applyProtection="1">
      <alignment vertical="center"/>
    </xf>
    <xf numFmtId="0" fontId="9" fillId="0" borderId="0" xfId="0" applyFont="1" applyBorder="1" applyAlignment="1" applyProtection="1">
      <alignment horizontal="center" vertical="center"/>
    </xf>
    <xf numFmtId="0" fontId="24" fillId="0" borderId="0" xfId="0" applyFont="1" applyBorder="1" applyAlignment="1" applyProtection="1">
      <alignment horizontal="center" vertical="center"/>
    </xf>
    <xf numFmtId="0" fontId="18" fillId="0" borderId="0" xfId="0" applyFont="1" applyBorder="1" applyAlignment="1" applyProtection="1">
      <alignment vertical="center" shrinkToFit="1"/>
    </xf>
    <xf numFmtId="0" fontId="18" fillId="0" borderId="29" xfId="0" applyFont="1" applyBorder="1" applyAlignment="1" applyProtection="1">
      <alignment horizontal="center" vertical="center"/>
    </xf>
    <xf numFmtId="0" fontId="9" fillId="0" borderId="30" xfId="0" applyFont="1" applyBorder="1" applyAlignment="1" applyProtection="1">
      <alignment horizontal="center" vertical="center"/>
    </xf>
    <xf numFmtId="14" fontId="24" fillId="0" borderId="0" xfId="0" applyNumberFormat="1" applyFont="1" applyBorder="1" applyAlignment="1" applyProtection="1">
      <alignment horizontal="center" vertical="center"/>
    </xf>
    <xf numFmtId="0" fontId="11" fillId="0" borderId="0" xfId="0" applyFont="1" applyBorder="1" applyAlignment="1" applyProtection="1">
      <alignment vertical="center"/>
    </xf>
    <xf numFmtId="0" fontId="11" fillId="0" borderId="3" xfId="0" applyFont="1" applyBorder="1" applyAlignment="1" applyProtection="1">
      <alignment horizontal="center" vertical="center"/>
    </xf>
    <xf numFmtId="14" fontId="24" fillId="0" borderId="5" xfId="0" applyNumberFormat="1" applyFont="1" applyBorder="1" applyAlignment="1" applyProtection="1">
      <alignment horizontal="center" vertical="center"/>
    </xf>
    <xf numFmtId="0" fontId="47" fillId="2" borderId="0" xfId="0" applyFont="1" applyFill="1" applyProtection="1">
      <alignment vertical="center"/>
    </xf>
    <xf numFmtId="0" fontId="40" fillId="0" borderId="0" xfId="0" applyFont="1" applyProtection="1">
      <alignment vertical="center"/>
    </xf>
    <xf numFmtId="0" fontId="40" fillId="0" borderId="3" xfId="0" applyFont="1" applyBorder="1" applyProtection="1">
      <alignment vertical="center"/>
    </xf>
    <xf numFmtId="0" fontId="47" fillId="2" borderId="0" xfId="0" applyFont="1" applyFill="1" applyAlignment="1" applyProtection="1">
      <alignment vertical="center"/>
    </xf>
    <xf numFmtId="0" fontId="47" fillId="2" borderId="0" xfId="0" applyFont="1" applyFill="1" applyBorder="1" applyAlignment="1" applyProtection="1">
      <alignment vertical="center"/>
    </xf>
    <xf numFmtId="0" fontId="40" fillId="0" borderId="13" xfId="0" applyFont="1" applyBorder="1" applyProtection="1">
      <alignment vertical="center"/>
    </xf>
    <xf numFmtId="0" fontId="47" fillId="2" borderId="145" xfId="0" applyFont="1" applyFill="1" applyBorder="1" applyAlignment="1" applyProtection="1">
      <alignment horizontal="center" vertical="center"/>
    </xf>
    <xf numFmtId="38" fontId="47" fillId="2" borderId="203" xfId="4" applyFont="1" applyFill="1" applyBorder="1" applyAlignment="1" applyProtection="1">
      <alignment horizontal="right" vertical="center" shrinkToFit="1"/>
    </xf>
    <xf numFmtId="38" fontId="47" fillId="0" borderId="204" xfId="4" applyFont="1" applyFill="1" applyBorder="1" applyAlignment="1" applyProtection="1">
      <alignment horizontal="right" vertical="center" shrinkToFit="1"/>
    </xf>
    <xf numFmtId="206" fontId="47" fillId="0" borderId="205" xfId="0" applyNumberFormat="1" applyFont="1" applyFill="1" applyBorder="1" applyAlignment="1" applyProtection="1">
      <alignment horizontal="center" vertical="center" shrinkToFit="1"/>
    </xf>
    <xf numFmtId="0" fontId="40" fillId="2" borderId="0" xfId="0" applyFont="1" applyFill="1" applyProtection="1">
      <alignment vertical="center"/>
    </xf>
    <xf numFmtId="0" fontId="40" fillId="0" borderId="16" xfId="0" applyFont="1" applyBorder="1" applyProtection="1">
      <alignment vertical="center"/>
    </xf>
    <xf numFmtId="0" fontId="40" fillId="0" borderId="0" xfId="0" applyFont="1" applyBorder="1" applyProtection="1">
      <alignment vertical="center"/>
    </xf>
    <xf numFmtId="0" fontId="40" fillId="2" borderId="92" xfId="0" applyFont="1" applyFill="1" applyBorder="1" applyAlignment="1" applyProtection="1">
      <alignment vertical="center"/>
    </xf>
    <xf numFmtId="0" fontId="40" fillId="2" borderId="30" xfId="0" applyFont="1" applyFill="1" applyBorder="1" applyAlignment="1" applyProtection="1">
      <alignment vertical="center"/>
    </xf>
    <xf numFmtId="0" fontId="40" fillId="2" borderId="15" xfId="0" applyFont="1" applyFill="1" applyBorder="1" applyAlignment="1" applyProtection="1">
      <alignment vertical="center"/>
    </xf>
    <xf numFmtId="0" fontId="40" fillId="2" borderId="32" xfId="0" applyFont="1" applyFill="1" applyBorder="1" applyAlignment="1" applyProtection="1">
      <alignment horizontal="center" vertical="center"/>
    </xf>
    <xf numFmtId="0" fontId="42" fillId="2" borderId="0" xfId="0" applyFont="1" applyFill="1" applyProtection="1">
      <alignment vertical="center"/>
    </xf>
    <xf numFmtId="14" fontId="40" fillId="0" borderId="3" xfId="0" applyNumberFormat="1" applyFont="1" applyBorder="1" applyProtection="1">
      <alignment vertical="center"/>
    </xf>
    <xf numFmtId="0" fontId="40" fillId="0" borderId="17" xfId="0" applyFont="1" applyBorder="1" applyProtection="1">
      <alignment vertical="center"/>
    </xf>
    <xf numFmtId="0" fontId="40" fillId="2" borderId="208" xfId="0" applyFont="1" applyFill="1" applyBorder="1" applyAlignment="1" applyProtection="1">
      <alignment horizontal="center" vertical="center"/>
    </xf>
    <xf numFmtId="0" fontId="40" fillId="2" borderId="34" xfId="0" applyFont="1" applyFill="1" applyBorder="1" applyAlignment="1" applyProtection="1">
      <alignment vertical="center"/>
    </xf>
    <xf numFmtId="0" fontId="40" fillId="2" borderId="35" xfId="0" applyFont="1" applyFill="1" applyBorder="1" applyAlignment="1" applyProtection="1">
      <alignment vertical="center"/>
    </xf>
    <xf numFmtId="0" fontId="40" fillId="6" borderId="0" xfId="0" applyFont="1" applyFill="1" applyBorder="1" applyAlignment="1" applyProtection="1">
      <alignment horizontal="center" vertical="center" shrinkToFit="1"/>
      <protection locked="0"/>
    </xf>
    <xf numFmtId="0" fontId="9" fillId="6" borderId="157" xfId="3" applyFont="1" applyFill="1" applyBorder="1" applyAlignment="1" applyProtection="1">
      <alignment horizontal="center" vertical="center" shrinkToFit="1"/>
      <protection locked="0"/>
    </xf>
    <xf numFmtId="0" fontId="9" fillId="0" borderId="225" xfId="3" applyFont="1" applyFill="1" applyBorder="1" applyAlignment="1" applyProtection="1">
      <alignment horizontal="center" vertical="center" shrinkToFit="1"/>
      <protection locked="0"/>
    </xf>
    <xf numFmtId="0" fontId="18" fillId="0" borderId="3" xfId="0" applyFont="1" applyBorder="1" applyAlignment="1" applyProtection="1">
      <alignment vertical="center"/>
    </xf>
    <xf numFmtId="0" fontId="18" fillId="0" borderId="3" xfId="0" applyFont="1" applyBorder="1" applyProtection="1">
      <alignment vertical="center"/>
    </xf>
    <xf numFmtId="0" fontId="18" fillId="0" borderId="58" xfId="0" applyFont="1" applyBorder="1" applyAlignment="1" applyProtection="1">
      <alignment vertical="center"/>
    </xf>
    <xf numFmtId="0" fontId="18" fillId="0" borderId="65" xfId="0" applyFont="1" applyBorder="1" applyAlignment="1" applyProtection="1">
      <alignment horizontal="center" vertical="center" shrinkToFit="1"/>
    </xf>
    <xf numFmtId="0" fontId="18" fillId="0" borderId="29" xfId="0" applyFont="1" applyBorder="1" applyAlignment="1" applyProtection="1">
      <alignment horizontal="center" vertical="center" shrinkToFit="1"/>
    </xf>
    <xf numFmtId="0" fontId="18" fillId="0" borderId="4" xfId="0" applyFont="1" applyBorder="1" applyAlignment="1" applyProtection="1">
      <alignment horizontal="center" vertical="center" shrinkToFit="1"/>
    </xf>
    <xf numFmtId="0" fontId="18" fillId="0" borderId="42" xfId="0" applyFont="1" applyFill="1" applyBorder="1" applyAlignment="1" applyProtection="1">
      <alignment horizontal="center" vertical="center" shrinkToFit="1"/>
    </xf>
    <xf numFmtId="0" fontId="18" fillId="0" borderId="2" xfId="0" applyFont="1" applyBorder="1" applyAlignment="1" applyProtection="1">
      <alignment horizontal="center" vertical="center" shrinkToFit="1"/>
    </xf>
    <xf numFmtId="0" fontId="18" fillId="0" borderId="42" xfId="0" applyFont="1" applyBorder="1" applyAlignment="1" applyProtection="1">
      <alignment horizontal="center" vertical="center" shrinkToFit="1"/>
    </xf>
    <xf numFmtId="0" fontId="18" fillId="0" borderId="0" xfId="0" applyFont="1" applyFill="1" applyBorder="1" applyAlignment="1" applyProtection="1">
      <alignment vertical="center"/>
    </xf>
    <xf numFmtId="0" fontId="18" fillId="0" borderId="0" xfId="0" applyFont="1" applyFill="1" applyBorder="1" applyAlignment="1" applyProtection="1">
      <alignment horizontal="center" vertical="center"/>
    </xf>
    <xf numFmtId="0" fontId="18" fillId="0" borderId="58" xfId="0" applyFont="1" applyBorder="1" applyAlignment="1" applyProtection="1">
      <alignment horizontal="center" vertical="center" shrinkToFit="1"/>
    </xf>
    <xf numFmtId="0" fontId="18" fillId="0" borderId="65" xfId="0" applyFont="1" applyBorder="1" applyAlignment="1" applyProtection="1">
      <alignment vertical="center" shrinkToFit="1"/>
    </xf>
    <xf numFmtId="186" fontId="9" fillId="0" borderId="0" xfId="1" applyNumberFormat="1" applyFont="1" applyFill="1" applyBorder="1" applyAlignment="1" applyProtection="1">
      <alignment horizontal="center" vertical="center" shrinkToFit="1"/>
    </xf>
    <xf numFmtId="0" fontId="18" fillId="0" borderId="0" xfId="0" applyFont="1" applyFill="1" applyBorder="1" applyProtection="1">
      <alignment vertical="center"/>
    </xf>
    <xf numFmtId="186" fontId="9" fillId="0" borderId="0" xfId="1" applyNumberFormat="1" applyFont="1" applyFill="1" applyBorder="1" applyAlignment="1" applyProtection="1">
      <alignment vertical="center" shrinkToFit="1"/>
    </xf>
    <xf numFmtId="0" fontId="45" fillId="0" borderId="0" xfId="0" applyFont="1" applyProtection="1">
      <alignment vertical="center"/>
    </xf>
    <xf numFmtId="0" fontId="18" fillId="0" borderId="18" xfId="0" applyFont="1" applyBorder="1" applyProtection="1">
      <alignment vertical="center"/>
    </xf>
    <xf numFmtId="0" fontId="18" fillId="0" borderId="30" xfId="0" applyFont="1" applyBorder="1" applyProtection="1">
      <alignment vertical="center"/>
    </xf>
    <xf numFmtId="0" fontId="18" fillId="0" borderId="15" xfId="0" applyFont="1" applyBorder="1" applyProtection="1">
      <alignment vertical="center"/>
    </xf>
    <xf numFmtId="0" fontId="18" fillId="0" borderId="0" xfId="0" applyFont="1" applyFill="1" applyBorder="1" applyAlignment="1" applyProtection="1">
      <alignment vertical="center" wrapText="1"/>
    </xf>
    <xf numFmtId="0" fontId="18" fillId="0" borderId="0" xfId="0" applyFont="1" applyFill="1" applyBorder="1" applyAlignment="1" applyProtection="1">
      <alignment vertical="center" wrapText="1" shrinkToFit="1"/>
    </xf>
    <xf numFmtId="0" fontId="9" fillId="0" borderId="0" xfId="3" applyFont="1" applyBorder="1" applyAlignment="1" applyProtection="1">
      <alignment horizontal="left" vertical="center"/>
    </xf>
    <xf numFmtId="0" fontId="18" fillId="0" borderId="3" xfId="0" applyFont="1" applyBorder="1" applyAlignment="1" applyProtection="1">
      <alignment horizontal="center" vertical="center" shrinkToFit="1"/>
    </xf>
    <xf numFmtId="0" fontId="9" fillId="6" borderId="224" xfId="3" applyFont="1" applyFill="1" applyBorder="1" applyAlignment="1" applyProtection="1">
      <alignment horizontal="center" vertical="center" shrinkToFit="1"/>
      <protection locked="0"/>
    </xf>
    <xf numFmtId="2" fontId="49" fillId="0" borderId="0" xfId="3" applyNumberFormat="1" applyFont="1" applyBorder="1" applyAlignment="1" applyProtection="1">
      <alignment vertical="center"/>
    </xf>
    <xf numFmtId="2" fontId="49" fillId="0" borderId="0" xfId="3" applyNumberFormat="1" applyFont="1" applyBorder="1" applyAlignment="1" applyProtection="1">
      <alignment horizontal="center" vertical="center"/>
    </xf>
    <xf numFmtId="0" fontId="9" fillId="0" borderId="0" xfId="3" applyFont="1" applyAlignment="1" applyProtection="1">
      <alignment vertical="center"/>
    </xf>
    <xf numFmtId="0" fontId="18" fillId="0" borderId="255" xfId="0" applyFont="1" applyBorder="1" applyAlignment="1" applyProtection="1">
      <alignment horizontal="center" vertical="center" shrinkToFit="1"/>
    </xf>
    <xf numFmtId="0" fontId="18" fillId="0" borderId="255" xfId="0" applyFont="1" applyBorder="1" applyAlignment="1" applyProtection="1">
      <alignment horizontal="center" vertical="center"/>
    </xf>
    <xf numFmtId="0" fontId="18" fillId="0" borderId="260" xfId="0" applyFont="1" applyBorder="1" applyAlignment="1" applyProtection="1">
      <alignment horizontal="center" vertical="center"/>
    </xf>
    <xf numFmtId="0" fontId="18" fillId="0" borderId="43" xfId="0" applyFont="1" applyBorder="1" applyAlignment="1" applyProtection="1">
      <alignment horizontal="center" vertical="center" shrinkToFit="1"/>
    </xf>
    <xf numFmtId="0" fontId="18" fillId="0" borderId="256" xfId="0" applyFont="1" applyBorder="1" applyAlignment="1" applyProtection="1">
      <alignment vertical="center"/>
    </xf>
    <xf numFmtId="0" fontId="18" fillId="0" borderId="46" xfId="0" applyFont="1" applyBorder="1" applyAlignment="1" applyProtection="1">
      <alignment vertical="center"/>
    </xf>
    <xf numFmtId="0" fontId="18" fillId="0" borderId="259" xfId="0" applyFont="1" applyBorder="1" applyAlignment="1" applyProtection="1">
      <alignment horizontal="center" vertical="center" shrinkToFit="1"/>
    </xf>
    <xf numFmtId="0" fontId="18" fillId="0" borderId="261" xfId="0" applyFont="1" applyBorder="1" applyAlignment="1" applyProtection="1">
      <alignment horizontal="center" vertical="center" shrinkToFit="1"/>
    </xf>
    <xf numFmtId="0" fontId="18" fillId="0" borderId="43" xfId="0" applyFont="1" applyBorder="1" applyAlignment="1" applyProtection="1">
      <alignment vertical="center"/>
    </xf>
    <xf numFmtId="0" fontId="18" fillId="0" borderId="257" xfId="0" applyFont="1" applyBorder="1" applyAlignment="1" applyProtection="1">
      <alignment horizontal="center" vertical="center" shrinkToFit="1"/>
    </xf>
    <xf numFmtId="0" fontId="18" fillId="0" borderId="257" xfId="0" applyFont="1" applyBorder="1" applyAlignment="1" applyProtection="1">
      <alignment vertical="center"/>
    </xf>
    <xf numFmtId="0" fontId="18" fillId="0" borderId="57" xfId="0" applyFont="1" applyBorder="1" applyAlignment="1" applyProtection="1">
      <alignment vertical="center"/>
    </xf>
    <xf numFmtId="0" fontId="18" fillId="0" borderId="59" xfId="0" applyFont="1" applyBorder="1" applyAlignment="1" applyProtection="1">
      <alignment horizontal="center" vertical="center" shrinkToFit="1"/>
    </xf>
    <xf numFmtId="0" fontId="18" fillId="0" borderId="258" xfId="0" applyFont="1" applyBorder="1" applyAlignment="1" applyProtection="1">
      <alignment horizontal="center" vertical="center" shrinkToFit="1"/>
    </xf>
    <xf numFmtId="0" fontId="9" fillId="0" borderId="258" xfId="3" applyFont="1" applyBorder="1" applyAlignment="1" applyProtection="1">
      <alignment vertical="center" shrinkToFit="1"/>
    </xf>
    <xf numFmtId="0" fontId="9" fillId="0" borderId="262" xfId="3" applyFont="1" applyBorder="1" applyAlignment="1" applyProtection="1">
      <alignment vertical="center" shrinkToFit="1"/>
    </xf>
    <xf numFmtId="0" fontId="9" fillId="0" borderId="59" xfId="3" applyFont="1" applyBorder="1" applyAlignment="1" applyProtection="1">
      <alignment vertical="center" shrinkToFit="1"/>
    </xf>
    <xf numFmtId="192" fontId="18" fillId="0" borderId="42" xfId="0" applyNumberFormat="1" applyFont="1" applyBorder="1" applyAlignment="1" applyProtection="1">
      <alignment horizontal="right" vertical="center" shrinkToFit="1"/>
    </xf>
    <xf numFmtId="192" fontId="18" fillId="0" borderId="2" xfId="0" applyNumberFormat="1" applyFont="1" applyBorder="1" applyAlignment="1" applyProtection="1">
      <alignment horizontal="right" vertical="center" shrinkToFit="1"/>
    </xf>
    <xf numFmtId="192" fontId="18" fillId="0" borderId="43" xfId="0" applyNumberFormat="1" applyFont="1" applyBorder="1" applyAlignment="1" applyProtection="1">
      <alignment horizontal="right" vertical="center" shrinkToFit="1"/>
    </xf>
    <xf numFmtId="0" fontId="18" fillId="0" borderId="259" xfId="0" applyFont="1" applyBorder="1" applyAlignment="1" applyProtection="1">
      <alignment horizontal="right" vertical="center" shrinkToFit="1"/>
    </xf>
    <xf numFmtId="0" fontId="18" fillId="0" borderId="43" xfId="0" applyFont="1" applyBorder="1" applyAlignment="1" applyProtection="1">
      <alignment horizontal="right" vertical="center" shrinkToFit="1"/>
    </xf>
    <xf numFmtId="0" fontId="18" fillId="0" borderId="261" xfId="0" applyFont="1" applyBorder="1" applyAlignment="1" applyProtection="1">
      <alignment horizontal="right" vertical="center" shrinkToFit="1"/>
    </xf>
    <xf numFmtId="192" fontId="18" fillId="0" borderId="65" xfId="0" applyNumberFormat="1" applyFont="1" applyBorder="1" applyAlignment="1" applyProtection="1">
      <alignment horizontal="right" vertical="center" shrinkToFit="1"/>
    </xf>
    <xf numFmtId="192" fontId="18" fillId="0" borderId="3" xfId="0" applyNumberFormat="1" applyFont="1" applyBorder="1" applyAlignment="1" applyProtection="1">
      <alignment horizontal="right" vertical="center" shrinkToFit="1"/>
    </xf>
    <xf numFmtId="192" fontId="18" fillId="0" borderId="58" xfId="0" applyNumberFormat="1" applyFont="1" applyBorder="1" applyAlignment="1" applyProtection="1">
      <alignment horizontal="right" vertical="center" shrinkToFit="1"/>
    </xf>
    <xf numFmtId="0" fontId="18" fillId="0" borderId="257" xfId="0" applyFont="1" applyBorder="1" applyAlignment="1" applyProtection="1">
      <alignment horizontal="right" vertical="center" shrinkToFit="1"/>
    </xf>
    <xf numFmtId="0" fontId="18" fillId="0" borderId="3" xfId="0" applyFont="1" applyBorder="1" applyAlignment="1" applyProtection="1">
      <alignment horizontal="right" vertical="center" shrinkToFit="1"/>
    </xf>
    <xf numFmtId="0" fontId="18" fillId="0" borderId="58" xfId="0" applyFont="1" applyBorder="1" applyAlignment="1" applyProtection="1">
      <alignment horizontal="right" vertical="center" shrinkToFit="1"/>
    </xf>
    <xf numFmtId="0" fontId="18" fillId="0" borderId="57" xfId="0" applyFont="1" applyBorder="1" applyAlignment="1" applyProtection="1">
      <alignment horizontal="right" vertical="center" shrinkToFit="1"/>
    </xf>
    <xf numFmtId="0" fontId="18" fillId="0" borderId="120" xfId="0" applyFont="1" applyBorder="1" applyAlignment="1" applyProtection="1">
      <alignment horizontal="right" vertical="center" shrinkToFit="1"/>
    </xf>
    <xf numFmtId="0" fontId="18" fillId="0" borderId="46" xfId="0" applyFont="1" applyBorder="1" applyAlignment="1" applyProtection="1">
      <alignment horizontal="right" vertical="center" shrinkToFit="1"/>
    </xf>
    <xf numFmtId="192" fontId="18" fillId="0" borderId="29" xfId="0" applyNumberFormat="1" applyFont="1" applyBorder="1" applyAlignment="1" applyProtection="1">
      <alignment horizontal="right" vertical="center" shrinkToFit="1"/>
    </xf>
    <xf numFmtId="192" fontId="18" fillId="0" borderId="4" xfId="0" applyNumberFormat="1" applyFont="1" applyBorder="1" applyAlignment="1" applyProtection="1">
      <alignment horizontal="right" vertical="center" shrinkToFit="1"/>
    </xf>
    <xf numFmtId="192" fontId="18" fillId="0" borderId="59" xfId="0" applyNumberFormat="1" applyFont="1" applyBorder="1" applyAlignment="1" applyProtection="1">
      <alignment horizontal="right" vertical="center" shrinkToFit="1"/>
    </xf>
    <xf numFmtId="0" fontId="18" fillId="0" borderId="258" xfId="0" applyFont="1" applyBorder="1" applyAlignment="1" applyProtection="1">
      <alignment horizontal="right" vertical="center" shrinkToFit="1"/>
    </xf>
    <xf numFmtId="0" fontId="18" fillId="0" borderId="4" xfId="0" applyFont="1" applyBorder="1" applyAlignment="1" applyProtection="1">
      <alignment horizontal="right" vertical="center" shrinkToFit="1"/>
    </xf>
    <xf numFmtId="0" fontId="18" fillId="0" borderId="59" xfId="0" applyFont="1" applyBorder="1" applyAlignment="1" applyProtection="1">
      <alignment horizontal="right" vertical="center" shrinkToFit="1"/>
    </xf>
    <xf numFmtId="0" fontId="18" fillId="0" borderId="262" xfId="0" applyFont="1" applyBorder="1" applyAlignment="1" applyProtection="1">
      <alignment horizontal="right" vertical="center" shrinkToFit="1"/>
    </xf>
    <xf numFmtId="0" fontId="18" fillId="0" borderId="263" xfId="0" applyFont="1" applyBorder="1" applyAlignment="1" applyProtection="1">
      <alignment horizontal="right" vertical="center" shrinkToFit="1"/>
    </xf>
    <xf numFmtId="0" fontId="18" fillId="0" borderId="6" xfId="0" applyFont="1" applyBorder="1" applyAlignment="1" applyProtection="1">
      <alignment vertical="center"/>
    </xf>
    <xf numFmtId="0" fontId="18" fillId="0" borderId="76" xfId="0" applyFont="1" applyBorder="1" applyAlignment="1" applyProtection="1">
      <alignment vertical="center" shrinkToFit="1"/>
    </xf>
    <xf numFmtId="0" fontId="18" fillId="0" borderId="16" xfId="0" applyFont="1" applyBorder="1" applyAlignment="1" applyProtection="1">
      <alignment vertical="center" shrinkToFit="1"/>
    </xf>
    <xf numFmtId="0" fontId="18" fillId="0" borderId="3" xfId="0" applyFont="1" applyBorder="1" applyAlignment="1" applyProtection="1">
      <alignment vertical="center" shrinkToFit="1"/>
    </xf>
    <xf numFmtId="192" fontId="18" fillId="0" borderId="3" xfId="0" applyNumberFormat="1" applyFont="1" applyBorder="1" applyAlignment="1" applyProtection="1">
      <alignment horizontal="center" vertical="center" shrinkToFit="1"/>
    </xf>
    <xf numFmtId="0" fontId="18" fillId="0" borderId="13" xfId="0" applyFont="1" applyBorder="1" applyAlignment="1" applyProtection="1">
      <alignment vertical="center"/>
    </xf>
    <xf numFmtId="0" fontId="18" fillId="0" borderId="77" xfId="0" applyFont="1" applyBorder="1" applyAlignment="1" applyProtection="1">
      <alignment vertical="center" shrinkToFit="1"/>
    </xf>
    <xf numFmtId="0" fontId="18" fillId="0" borderId="32" xfId="0" applyFont="1" applyBorder="1" applyAlignment="1" applyProtection="1">
      <alignment vertical="center" shrinkToFit="1"/>
    </xf>
    <xf numFmtId="0" fontId="9" fillId="0" borderId="52" xfId="3" applyFont="1" applyBorder="1" applyAlignment="1" applyProtection="1">
      <alignment vertical="center" shrinkToFit="1"/>
    </xf>
    <xf numFmtId="0" fontId="9" fillId="0" borderId="4" xfId="3" applyFont="1" applyBorder="1" applyAlignment="1" applyProtection="1">
      <alignment vertical="center" shrinkToFit="1"/>
    </xf>
    <xf numFmtId="0" fontId="18" fillId="0" borderId="42" xfId="0" applyFont="1" applyBorder="1" applyAlignment="1" applyProtection="1">
      <alignment horizontal="right" vertical="center" shrinkToFit="1"/>
    </xf>
    <xf numFmtId="0" fontId="18" fillId="0" borderId="2" xfId="0" applyFont="1" applyBorder="1" applyAlignment="1" applyProtection="1">
      <alignment horizontal="right" vertical="center" shrinkToFit="1"/>
    </xf>
    <xf numFmtId="0" fontId="18" fillId="0" borderId="25" xfId="0" applyFont="1" applyBorder="1" applyAlignment="1" applyProtection="1">
      <alignment horizontal="right" vertical="center" shrinkToFit="1"/>
    </xf>
    <xf numFmtId="0" fontId="18" fillId="0" borderId="65" xfId="0" applyFont="1" applyBorder="1" applyAlignment="1" applyProtection="1">
      <alignment horizontal="right" vertical="center" shrinkToFit="1"/>
    </xf>
    <xf numFmtId="0" fontId="18" fillId="0" borderId="19" xfId="0" applyFont="1" applyBorder="1" applyAlignment="1" applyProtection="1">
      <alignment horizontal="right" vertical="center" shrinkToFit="1"/>
    </xf>
    <xf numFmtId="0" fontId="18" fillId="0" borderId="29" xfId="0" applyFont="1" applyBorder="1" applyAlignment="1" applyProtection="1">
      <alignment horizontal="right" vertical="center" shrinkToFit="1"/>
    </xf>
    <xf numFmtId="0" fontId="18" fillId="0" borderId="53" xfId="0" applyFont="1" applyBorder="1" applyAlignment="1" applyProtection="1">
      <alignment horizontal="right" vertical="center" shrinkToFit="1"/>
    </xf>
    <xf numFmtId="0" fontId="18" fillId="0" borderId="145" xfId="0" applyFont="1" applyFill="1" applyBorder="1" applyAlignment="1" applyProtection="1">
      <alignment horizontal="right" vertical="center" shrinkToFit="1"/>
    </xf>
    <xf numFmtId="0" fontId="18" fillId="0" borderId="66" xfId="0" applyFont="1" applyBorder="1" applyAlignment="1" applyProtection="1">
      <alignment horizontal="right" vertical="center" shrinkToFit="1"/>
    </xf>
    <xf numFmtId="0" fontId="18" fillId="0" borderId="67" xfId="0" applyFont="1" applyBorder="1" applyAlignment="1" applyProtection="1">
      <alignment horizontal="right" vertical="center" shrinkToFit="1"/>
    </xf>
    <xf numFmtId="0" fontId="9" fillId="2" borderId="0" xfId="3" applyFont="1" applyFill="1" applyBorder="1" applyAlignment="1" applyProtection="1">
      <alignment vertical="center"/>
    </xf>
    <xf numFmtId="0" fontId="18" fillId="0" borderId="219" xfId="0" applyFont="1" applyFill="1" applyBorder="1" applyAlignment="1" applyProtection="1">
      <alignment horizontal="right" vertical="center" shrinkToFit="1"/>
    </xf>
    <xf numFmtId="0" fontId="18" fillId="0" borderId="17" xfId="0" applyFont="1" applyBorder="1" applyAlignment="1" applyProtection="1">
      <alignment horizontal="right" vertical="center" shrinkToFit="1"/>
    </xf>
    <xf numFmtId="0" fontId="18" fillId="0" borderId="13" xfId="0" applyFont="1" applyBorder="1" applyAlignment="1" applyProtection="1">
      <alignment horizontal="right" vertical="center" shrinkToFit="1"/>
    </xf>
    <xf numFmtId="0" fontId="9" fillId="0" borderId="3" xfId="0" applyFont="1" applyBorder="1" applyAlignment="1" applyProtection="1">
      <alignment horizontal="center" vertical="center"/>
    </xf>
    <xf numFmtId="0" fontId="18" fillId="0" borderId="264" xfId="0" applyFont="1" applyBorder="1" applyAlignment="1" applyProtection="1">
      <alignment horizontal="center" vertical="center"/>
    </xf>
    <xf numFmtId="0" fontId="18" fillId="0" borderId="265" xfId="0" applyFont="1" applyBorder="1" applyAlignment="1" applyProtection="1">
      <alignment vertical="center"/>
    </xf>
    <xf numFmtId="0" fontId="18" fillId="0" borderId="266" xfId="0" applyFont="1" applyBorder="1" applyAlignment="1" applyProtection="1">
      <alignment vertical="center"/>
    </xf>
    <xf numFmtId="0" fontId="9" fillId="0" borderId="267" xfId="3" applyFont="1" applyBorder="1" applyAlignment="1" applyProtection="1">
      <alignment vertical="center" shrinkToFit="1"/>
    </xf>
    <xf numFmtId="0" fontId="18" fillId="0" borderId="265" xfId="0" applyFont="1" applyBorder="1" applyAlignment="1" applyProtection="1">
      <alignment horizontal="right" vertical="center" shrinkToFit="1"/>
    </xf>
    <xf numFmtId="0" fontId="18" fillId="0" borderId="268" xfId="0" applyFont="1" applyBorder="1" applyAlignment="1" applyProtection="1">
      <alignment horizontal="right" vertical="center" shrinkToFit="1"/>
    </xf>
    <xf numFmtId="0" fontId="18" fillId="0" borderId="269" xfId="0" applyFont="1" applyBorder="1" applyAlignment="1" applyProtection="1">
      <alignment horizontal="right" vertical="center" shrinkToFit="1"/>
    </xf>
    <xf numFmtId="0" fontId="4" fillId="2" borderId="36" xfId="3" applyFont="1" applyFill="1" applyBorder="1" applyAlignment="1" applyProtection="1">
      <alignment horizontal="center" vertical="center"/>
    </xf>
    <xf numFmtId="0" fontId="18" fillId="0" borderId="0" xfId="0" applyFont="1" applyBorder="1" applyAlignment="1" applyProtection="1">
      <alignment horizontal="center" vertical="center"/>
    </xf>
    <xf numFmtId="0" fontId="18" fillId="0" borderId="0" xfId="0" applyFont="1" applyBorder="1" applyAlignment="1" applyProtection="1">
      <alignment horizontal="left" vertical="center"/>
    </xf>
    <xf numFmtId="0" fontId="18" fillId="0" borderId="0" xfId="0" applyFont="1" applyBorder="1" applyAlignment="1" applyProtection="1">
      <alignment horizontal="center" vertical="center" shrinkToFit="1"/>
    </xf>
    <xf numFmtId="210" fontId="18" fillId="0" borderId="0" xfId="0" applyNumberFormat="1" applyFont="1" applyBorder="1" applyAlignment="1" applyProtection="1">
      <alignment horizontal="right" vertical="center"/>
    </xf>
    <xf numFmtId="209" fontId="18" fillId="0" borderId="0" xfId="0" applyNumberFormat="1" applyFont="1" applyBorder="1" applyAlignment="1" applyProtection="1">
      <alignment horizontal="right" vertical="center"/>
    </xf>
    <xf numFmtId="209" fontId="36" fillId="0" borderId="0" xfId="4" applyNumberFormat="1" applyFont="1" applyBorder="1" applyAlignment="1" applyProtection="1">
      <alignment horizontal="right" vertical="center" shrinkToFit="1"/>
    </xf>
    <xf numFmtId="0" fontId="19" fillId="0" borderId="22" xfId="0" applyFont="1" applyBorder="1" applyAlignment="1" applyProtection="1">
      <alignment horizontal="center" vertical="center" shrinkToFit="1"/>
    </xf>
    <xf numFmtId="0" fontId="19" fillId="0" borderId="24" xfId="0" applyFont="1" applyBorder="1" applyAlignment="1" applyProtection="1">
      <alignment horizontal="center" vertical="center" shrinkToFit="1"/>
    </xf>
    <xf numFmtId="0" fontId="19" fillId="0" borderId="100" xfId="0" applyFont="1" applyBorder="1" applyAlignment="1" applyProtection="1">
      <alignment horizontal="center" vertical="center"/>
    </xf>
    <xf numFmtId="0" fontId="19" fillId="0" borderId="23" xfId="0" applyFont="1" applyBorder="1" applyAlignment="1" applyProtection="1">
      <alignment horizontal="center" vertical="center"/>
    </xf>
    <xf numFmtId="0" fontId="19" fillId="0" borderId="24" xfId="0" applyFont="1" applyBorder="1" applyAlignment="1" applyProtection="1">
      <alignment horizontal="center" vertical="center"/>
    </xf>
    <xf numFmtId="0" fontId="19" fillId="0" borderId="66" xfId="0" applyFont="1" applyBorder="1" applyAlignment="1" applyProtection="1">
      <alignment horizontal="center" vertical="center" shrinkToFit="1"/>
    </xf>
    <xf numFmtId="0" fontId="19" fillId="0" borderId="2" xfId="0" applyFont="1" applyBorder="1" applyAlignment="1" applyProtection="1">
      <alignment horizontal="center" vertical="center" shrinkToFit="1"/>
    </xf>
    <xf numFmtId="0" fontId="18" fillId="3" borderId="191" xfId="0" applyFont="1" applyFill="1" applyBorder="1" applyAlignment="1" applyProtection="1">
      <alignment horizontal="center" vertical="center" shrinkToFit="1"/>
    </xf>
    <xf numFmtId="0" fontId="18" fillId="3" borderId="218" xfId="0" applyFont="1" applyFill="1" applyBorder="1" applyAlignment="1" applyProtection="1">
      <alignment horizontal="center" vertical="center" shrinkToFit="1"/>
    </xf>
    <xf numFmtId="0" fontId="9" fillId="3" borderId="232" xfId="1" applyFont="1" applyFill="1" applyBorder="1" applyAlignment="1" applyProtection="1">
      <alignment horizontal="center" vertical="center" wrapText="1" shrinkToFit="1"/>
    </xf>
    <xf numFmtId="0" fontId="18" fillId="0" borderId="220" xfId="0" applyFont="1" applyFill="1" applyBorder="1" applyAlignment="1" applyProtection="1">
      <alignment horizontal="right" vertical="center" shrinkToFit="1"/>
    </xf>
    <xf numFmtId="0" fontId="18" fillId="0" borderId="52" xfId="0" applyFont="1" applyBorder="1" applyAlignment="1" applyProtection="1">
      <alignment horizontal="right" vertical="center" shrinkToFit="1"/>
    </xf>
    <xf numFmtId="0" fontId="9" fillId="6" borderId="278" xfId="3" applyFont="1" applyFill="1" applyBorder="1" applyAlignment="1" applyProtection="1">
      <alignment horizontal="center" vertical="center" shrinkToFit="1"/>
      <protection locked="0"/>
    </xf>
    <xf numFmtId="0" fontId="9" fillId="6" borderId="277" xfId="3" applyFont="1" applyFill="1" applyBorder="1" applyAlignment="1" applyProtection="1">
      <alignment horizontal="center" vertical="center" shrinkToFit="1"/>
      <protection locked="0"/>
    </xf>
    <xf numFmtId="0" fontId="9" fillId="0" borderId="279" xfId="3" applyFont="1" applyFill="1" applyBorder="1" applyAlignment="1" applyProtection="1">
      <alignment horizontal="center" vertical="center" shrinkToFit="1"/>
      <protection locked="0"/>
    </xf>
    <xf numFmtId="14" fontId="9" fillId="4" borderId="277" xfId="3" applyNumberFormat="1" applyFont="1" applyFill="1" applyBorder="1" applyAlignment="1" applyProtection="1">
      <alignment vertical="center" shrinkToFit="1"/>
      <protection locked="0"/>
    </xf>
    <xf numFmtId="0" fontId="9" fillId="4" borderId="157" xfId="3" applyFont="1" applyFill="1" applyBorder="1" applyAlignment="1" applyProtection="1">
      <alignment vertical="center" shrinkToFit="1"/>
      <protection locked="0"/>
    </xf>
    <xf numFmtId="0" fontId="9" fillId="4" borderId="277" xfId="3" applyFont="1" applyFill="1" applyBorder="1" applyAlignment="1" applyProtection="1">
      <alignment vertical="center" shrinkToFit="1"/>
      <protection locked="0"/>
    </xf>
    <xf numFmtId="0" fontId="9" fillId="6" borderId="283" xfId="3" applyFont="1" applyFill="1" applyBorder="1" applyAlignment="1" applyProtection="1">
      <alignment horizontal="center" vertical="center" shrinkToFit="1"/>
      <protection locked="0"/>
    </xf>
    <xf numFmtId="14" fontId="9" fillId="4" borderId="282" xfId="3" applyNumberFormat="1" applyFont="1" applyFill="1" applyBorder="1" applyAlignment="1" applyProtection="1">
      <alignment vertical="center" shrinkToFit="1"/>
      <protection locked="0"/>
    </xf>
    <xf numFmtId="0" fontId="9" fillId="4" borderId="282" xfId="3" applyFont="1" applyFill="1" applyBorder="1" applyAlignment="1" applyProtection="1">
      <alignment vertical="center" shrinkToFit="1"/>
      <protection locked="0"/>
    </xf>
    <xf numFmtId="0" fontId="9" fillId="6" borderId="162" xfId="3" applyFont="1" applyFill="1" applyBorder="1" applyAlignment="1" applyProtection="1">
      <alignment horizontal="center" vertical="center" shrinkToFit="1"/>
      <protection locked="0"/>
    </xf>
    <xf numFmtId="0" fontId="9" fillId="6" borderId="286" xfId="3" applyFont="1" applyFill="1" applyBorder="1" applyAlignment="1" applyProtection="1">
      <alignment horizontal="center" vertical="center" shrinkToFit="1"/>
      <protection locked="0"/>
    </xf>
    <xf numFmtId="0" fontId="9" fillId="0" borderId="287" xfId="3" applyFont="1" applyFill="1" applyBorder="1" applyAlignment="1" applyProtection="1">
      <alignment horizontal="center" vertical="center" shrinkToFit="1"/>
      <protection locked="0"/>
    </xf>
    <xf numFmtId="14" fontId="9" fillId="4" borderId="162" xfId="3" applyNumberFormat="1" applyFont="1" applyFill="1" applyBorder="1" applyAlignment="1" applyProtection="1">
      <alignment vertical="center" shrinkToFit="1"/>
      <protection locked="0"/>
    </xf>
    <xf numFmtId="0" fontId="9" fillId="4" borderId="162" xfId="3" applyFont="1" applyFill="1" applyBorder="1" applyAlignment="1" applyProtection="1">
      <alignment vertical="center" shrinkToFit="1"/>
      <protection locked="0"/>
    </xf>
    <xf numFmtId="0" fontId="18" fillId="3" borderId="292" xfId="0" applyFont="1" applyFill="1" applyBorder="1" applyAlignment="1" applyProtection="1">
      <alignment horizontal="center" vertical="center"/>
    </xf>
    <xf numFmtId="192" fontId="9" fillId="2" borderId="3" xfId="1" applyNumberFormat="1" applyFont="1" applyFill="1" applyBorder="1" applyAlignment="1" applyProtection="1">
      <alignment horizontal="right" vertical="center" shrinkToFit="1"/>
    </xf>
    <xf numFmtId="188" fontId="9" fillId="2" borderId="3" xfId="1" applyNumberFormat="1" applyFont="1" applyFill="1" applyBorder="1" applyAlignment="1" applyProtection="1">
      <alignment horizontal="right" vertical="center" shrinkToFit="1"/>
    </xf>
    <xf numFmtId="0" fontId="18" fillId="3" borderId="50" xfId="0" applyFont="1" applyFill="1" applyBorder="1" applyAlignment="1" applyProtection="1">
      <alignment vertical="center" shrinkToFit="1"/>
    </xf>
    <xf numFmtId="0" fontId="18" fillId="3" borderId="28" xfId="0" applyFont="1" applyFill="1" applyBorder="1" applyAlignment="1" applyProtection="1">
      <alignment vertical="center" shrinkToFit="1"/>
    </xf>
    <xf numFmtId="0" fontId="18" fillId="3" borderId="97" xfId="0" applyFont="1" applyFill="1" applyBorder="1" applyAlignment="1" applyProtection="1">
      <alignment vertical="center" shrinkToFit="1"/>
    </xf>
    <xf numFmtId="0" fontId="9" fillId="4" borderId="163" xfId="3" applyFont="1" applyFill="1" applyBorder="1" applyAlignment="1" applyProtection="1">
      <alignment horizontal="center" vertical="center" shrinkToFit="1"/>
      <protection locked="0"/>
    </xf>
    <xf numFmtId="0" fontId="9" fillId="4" borderId="159" xfId="3" applyFont="1" applyFill="1" applyBorder="1" applyAlignment="1" applyProtection="1">
      <alignment horizontal="center" vertical="center" shrinkToFit="1"/>
      <protection locked="0"/>
    </xf>
    <xf numFmtId="0" fontId="9" fillId="4" borderId="280" xfId="3" applyFont="1" applyFill="1" applyBorder="1" applyAlignment="1" applyProtection="1">
      <alignment horizontal="center" vertical="center" shrinkToFit="1"/>
      <protection locked="0"/>
    </xf>
    <xf numFmtId="0" fontId="9" fillId="4" borderId="285" xfId="3" applyFont="1" applyFill="1" applyBorder="1" applyAlignment="1" applyProtection="1">
      <alignment horizontal="center" vertical="center" shrinkToFit="1"/>
      <protection locked="0"/>
    </xf>
    <xf numFmtId="0" fontId="9" fillId="3" borderId="190" xfId="3" applyFont="1" applyFill="1" applyBorder="1" applyAlignment="1" applyProtection="1">
      <alignment horizontal="center" vertical="center"/>
    </xf>
    <xf numFmtId="0" fontId="9" fillId="3" borderId="191" xfId="3" applyFont="1" applyFill="1" applyBorder="1" applyAlignment="1" applyProtection="1">
      <alignment horizontal="center" vertical="center"/>
    </xf>
    <xf numFmtId="0" fontId="9" fillId="3" borderId="302" xfId="3" applyFont="1" applyFill="1" applyBorder="1" applyAlignment="1" applyProtection="1">
      <alignment horizontal="center" vertical="center"/>
    </xf>
    <xf numFmtId="0" fontId="47" fillId="2" borderId="128" xfId="0" applyFont="1" applyFill="1" applyBorder="1" applyAlignment="1" applyProtection="1">
      <alignment horizontal="center" vertical="center"/>
    </xf>
    <xf numFmtId="0" fontId="47" fillId="2" borderId="245" xfId="0" applyFont="1" applyFill="1" applyBorder="1" applyAlignment="1" applyProtection="1">
      <alignment horizontal="center" vertical="center"/>
    </xf>
    <xf numFmtId="0" fontId="47" fillId="2" borderId="307" xfId="0" applyFont="1" applyFill="1" applyBorder="1" applyAlignment="1" applyProtection="1">
      <alignment horizontal="center" vertical="center"/>
    </xf>
    <xf numFmtId="0" fontId="47" fillId="2" borderId="308" xfId="0" applyFont="1" applyFill="1" applyBorder="1" applyAlignment="1" applyProtection="1">
      <alignment horizontal="right" vertical="center" shrinkToFit="1"/>
    </xf>
    <xf numFmtId="0" fontId="47" fillId="2" borderId="303" xfId="0" applyFont="1" applyFill="1" applyBorder="1" applyAlignment="1" applyProtection="1">
      <alignment horizontal="right" vertical="center" shrinkToFit="1"/>
    </xf>
    <xf numFmtId="0" fontId="47" fillId="2" borderId="304" xfId="0" applyFont="1" applyFill="1" applyBorder="1" applyAlignment="1" applyProtection="1">
      <alignment horizontal="right" vertical="center" shrinkToFit="1"/>
    </xf>
    <xf numFmtId="0" fontId="47" fillId="4" borderId="309" xfId="0" applyFont="1" applyFill="1" applyBorder="1" applyAlignment="1" applyProtection="1">
      <alignment horizontal="right" vertical="center" shrinkToFit="1"/>
      <protection locked="0"/>
    </xf>
    <xf numFmtId="0" fontId="47" fillId="4" borderId="254" xfId="0" applyFont="1" applyFill="1" applyBorder="1" applyAlignment="1" applyProtection="1">
      <alignment horizontal="right" vertical="center" shrinkToFit="1"/>
      <protection locked="0"/>
    </xf>
    <xf numFmtId="0" fontId="47" fillId="4" borderId="310" xfId="0" applyFont="1" applyFill="1" applyBorder="1" applyAlignment="1" applyProtection="1">
      <alignment horizontal="right" vertical="center" shrinkToFit="1"/>
      <protection locked="0"/>
    </xf>
    <xf numFmtId="0" fontId="47" fillId="0" borderId="309" xfId="0" applyFont="1" applyBorder="1" applyAlignment="1" applyProtection="1">
      <alignment horizontal="center" vertical="center" shrinkToFit="1"/>
    </xf>
    <xf numFmtId="0" fontId="47" fillId="0" borderId="254" xfId="0" applyFont="1" applyBorder="1" applyAlignment="1" applyProtection="1">
      <alignment horizontal="center" vertical="center" shrinkToFit="1"/>
    </xf>
    <xf numFmtId="0" fontId="47" fillId="0" borderId="252" xfId="0" applyFont="1" applyBorder="1" applyAlignment="1" applyProtection="1">
      <alignment horizontal="center" vertical="center" shrinkToFit="1"/>
    </xf>
    <xf numFmtId="0" fontId="47" fillId="0" borderId="311" xfId="0" applyFont="1" applyBorder="1" applyAlignment="1" applyProtection="1">
      <alignment horizontal="center" vertical="center" shrinkToFit="1"/>
    </xf>
    <xf numFmtId="2" fontId="18" fillId="12" borderId="320" xfId="0" applyNumberFormat="1" applyFont="1" applyFill="1" applyBorder="1" applyAlignment="1" applyProtection="1">
      <alignment horizontal="center" vertical="center"/>
    </xf>
    <xf numFmtId="2" fontId="18" fillId="12" borderId="321" xfId="0" applyNumberFormat="1" applyFont="1" applyFill="1" applyBorder="1" applyAlignment="1" applyProtection="1">
      <alignment horizontal="center" vertical="center"/>
    </xf>
    <xf numFmtId="0" fontId="18" fillId="0" borderId="0" xfId="0" applyFont="1" applyFill="1" applyBorder="1" applyAlignment="1" applyProtection="1">
      <alignment horizontal="center" vertical="center" shrinkToFit="1"/>
    </xf>
    <xf numFmtId="0" fontId="9" fillId="0" borderId="0" xfId="0" applyFont="1" applyFill="1" applyBorder="1" applyAlignment="1" applyProtection="1">
      <alignment horizontal="center" vertical="center" shrinkToFit="1"/>
    </xf>
    <xf numFmtId="0" fontId="18" fillId="0" borderId="3" xfId="0" applyFont="1" applyFill="1" applyBorder="1" applyAlignment="1" applyProtection="1">
      <alignment horizontal="center" vertical="center" shrinkToFit="1"/>
    </xf>
    <xf numFmtId="0" fontId="50" fillId="0" borderId="0" xfId="0" applyFont="1" applyFill="1" applyAlignment="1" applyProtection="1">
      <alignment horizontal="center" vertical="center"/>
    </xf>
    <xf numFmtId="0" fontId="18" fillId="0" borderId="0" xfId="0" applyFont="1" applyFill="1" applyBorder="1" applyAlignment="1" applyProtection="1">
      <alignment vertical="center" shrinkToFit="1"/>
    </xf>
    <xf numFmtId="0" fontId="18" fillId="0" borderId="0" xfId="0" applyFont="1" applyFill="1" applyAlignment="1" applyProtection="1">
      <alignment vertical="center"/>
    </xf>
    <xf numFmtId="0" fontId="18" fillId="0" borderId="0" xfId="0" applyFont="1" applyFill="1" applyProtection="1">
      <alignment vertical="center"/>
    </xf>
    <xf numFmtId="0" fontId="18" fillId="0" borderId="65" xfId="0" applyFont="1" applyFill="1" applyBorder="1" applyAlignment="1" applyProtection="1">
      <alignment horizontal="center" vertical="center" shrinkToFit="1"/>
    </xf>
    <xf numFmtId="180" fontId="18" fillId="0" borderId="0" xfId="0" applyNumberFormat="1" applyFont="1" applyFill="1" applyAlignment="1" applyProtection="1">
      <alignment vertical="center"/>
    </xf>
    <xf numFmtId="177" fontId="9" fillId="0" borderId="0" xfId="1" applyNumberFormat="1" applyFont="1" applyFill="1" applyBorder="1" applyAlignment="1" applyProtection="1">
      <alignment wrapText="1"/>
    </xf>
    <xf numFmtId="0" fontId="18" fillId="0" borderId="58" xfId="0" applyFont="1" applyFill="1" applyBorder="1" applyAlignment="1" applyProtection="1">
      <alignment vertical="center"/>
    </xf>
    <xf numFmtId="0" fontId="18" fillId="0" borderId="16" xfId="0" applyFont="1" applyFill="1" applyBorder="1" applyAlignment="1" applyProtection="1">
      <alignment horizontal="center" vertical="center" shrinkToFit="1"/>
    </xf>
    <xf numFmtId="0" fontId="18" fillId="0" borderId="65" xfId="0" applyFont="1" applyFill="1" applyBorder="1" applyAlignment="1" applyProtection="1">
      <alignment horizontal="center" vertical="center" wrapText="1" shrinkToFit="1"/>
    </xf>
    <xf numFmtId="0" fontId="18" fillId="0" borderId="3" xfId="0" applyFont="1" applyFill="1" applyBorder="1" applyAlignment="1" applyProtection="1">
      <alignment horizontal="center" vertical="center" wrapText="1" shrinkToFit="1"/>
    </xf>
    <xf numFmtId="0" fontId="18" fillId="0" borderId="0" xfId="0" applyFont="1" applyFill="1" applyAlignment="1" applyProtection="1">
      <alignment horizontal="right" vertical="center"/>
    </xf>
    <xf numFmtId="0" fontId="18" fillId="0" borderId="65" xfId="0" applyFont="1" applyFill="1" applyBorder="1" applyAlignment="1" applyProtection="1">
      <alignment vertical="center"/>
    </xf>
    <xf numFmtId="0" fontId="18" fillId="0" borderId="29" xfId="0" applyFont="1" applyFill="1" applyBorder="1" applyAlignment="1" applyProtection="1">
      <alignment horizontal="center" vertical="center" shrinkToFit="1"/>
    </xf>
    <xf numFmtId="0" fontId="18" fillId="0" borderId="4" xfId="0" applyFont="1" applyFill="1" applyBorder="1" applyAlignment="1" applyProtection="1">
      <alignment horizontal="center" vertical="center" shrinkToFit="1"/>
    </xf>
    <xf numFmtId="0" fontId="18" fillId="0" borderId="26" xfId="0" applyFont="1" applyFill="1" applyBorder="1" applyAlignment="1" applyProtection="1">
      <alignment horizontal="center" vertical="center" shrinkToFit="1"/>
    </xf>
    <xf numFmtId="0" fontId="18" fillId="0" borderId="35" xfId="0" applyFont="1" applyFill="1" applyBorder="1" applyAlignment="1" applyProtection="1">
      <alignment vertical="center"/>
    </xf>
    <xf numFmtId="0" fontId="18" fillId="0" borderId="44" xfId="0" applyFont="1" applyFill="1" applyBorder="1" applyAlignment="1" applyProtection="1">
      <alignment horizontal="center" vertical="center" shrinkToFit="1"/>
    </xf>
    <xf numFmtId="0" fontId="18" fillId="0" borderId="44" xfId="0" applyFont="1" applyFill="1" applyBorder="1" applyAlignment="1" applyProtection="1">
      <alignment horizontal="center" vertical="center" wrapText="1" shrinkToFit="1"/>
    </xf>
    <xf numFmtId="0" fontId="18" fillId="0" borderId="5" xfId="0" applyFont="1" applyFill="1" applyBorder="1" applyAlignment="1" applyProtection="1">
      <alignment horizontal="center" vertical="center" wrapText="1" shrinkToFit="1"/>
    </xf>
    <xf numFmtId="0" fontId="18" fillId="0" borderId="45" xfId="0" applyFont="1" applyFill="1" applyBorder="1" applyAlignment="1" applyProtection="1">
      <alignment vertical="center"/>
    </xf>
    <xf numFmtId="0" fontId="18" fillId="0" borderId="22" xfId="0" applyFont="1" applyFill="1" applyBorder="1" applyAlignment="1" applyProtection="1">
      <alignment horizontal="center" vertical="center" shrinkToFit="1"/>
    </xf>
    <xf numFmtId="0" fontId="18" fillId="0" borderId="23" xfId="0" applyFont="1" applyFill="1" applyBorder="1" applyAlignment="1" applyProtection="1">
      <alignment horizontal="center" vertical="center" shrinkToFit="1"/>
    </xf>
    <xf numFmtId="0" fontId="18" fillId="0" borderId="39" xfId="0" applyFont="1" applyFill="1" applyBorder="1" applyAlignment="1" applyProtection="1">
      <alignment horizontal="center" vertical="center" shrinkToFit="1"/>
    </xf>
    <xf numFmtId="0" fontId="18" fillId="0" borderId="38" xfId="0" applyFont="1" applyFill="1" applyBorder="1" applyAlignment="1" applyProtection="1">
      <alignment horizontal="center" vertical="center" shrinkToFit="1"/>
    </xf>
    <xf numFmtId="0" fontId="18" fillId="0" borderId="100" xfId="0" applyFont="1" applyFill="1" applyBorder="1" applyAlignment="1" applyProtection="1">
      <alignment horizontal="center" vertical="center" shrinkToFit="1"/>
    </xf>
    <xf numFmtId="0" fontId="18" fillId="0" borderId="2" xfId="0" applyFont="1" applyFill="1" applyBorder="1" applyAlignment="1" applyProtection="1">
      <alignment horizontal="center" vertical="center" shrinkToFit="1"/>
    </xf>
    <xf numFmtId="0" fontId="18" fillId="0" borderId="50" xfId="0" applyFont="1" applyFill="1" applyBorder="1" applyAlignment="1" applyProtection="1">
      <alignment horizontal="center" vertical="center" shrinkToFit="1"/>
    </xf>
    <xf numFmtId="0" fontId="18" fillId="0" borderId="98" xfId="0" applyFont="1" applyFill="1" applyBorder="1" applyAlignment="1" applyProtection="1">
      <alignment horizontal="center" vertical="center" shrinkToFit="1"/>
    </xf>
    <xf numFmtId="0" fontId="18" fillId="0" borderId="236" xfId="0" applyFont="1" applyFill="1" applyBorder="1" applyAlignment="1" applyProtection="1">
      <alignment horizontal="center" vertical="center" shrinkToFit="1"/>
    </xf>
    <xf numFmtId="0" fontId="18" fillId="0" borderId="66" xfId="0" applyFont="1" applyFill="1" applyBorder="1" applyAlignment="1" applyProtection="1">
      <alignment horizontal="center" vertical="center" shrinkToFit="1"/>
    </xf>
    <xf numFmtId="0" fontId="18" fillId="0" borderId="77" xfId="0" applyFont="1" applyFill="1" applyBorder="1" applyAlignment="1" applyProtection="1">
      <alignment horizontal="center" vertical="center" shrinkToFit="1"/>
    </xf>
    <xf numFmtId="0" fontId="18" fillId="0" borderId="237" xfId="0" applyFont="1" applyFill="1" applyBorder="1" applyAlignment="1" applyProtection="1">
      <alignment horizontal="center" vertical="center" shrinkToFit="1"/>
    </xf>
    <xf numFmtId="0" fontId="18" fillId="0" borderId="17" xfId="0" applyFont="1" applyFill="1" applyBorder="1" applyAlignment="1" applyProtection="1">
      <alignment horizontal="center" vertical="center" shrinkToFit="1"/>
    </xf>
    <xf numFmtId="0" fontId="18" fillId="0" borderId="13" xfId="0" applyFont="1" applyFill="1" applyBorder="1" applyAlignment="1" applyProtection="1">
      <alignment horizontal="center" vertical="center" shrinkToFit="1"/>
    </xf>
    <xf numFmtId="0" fontId="36" fillId="0" borderId="0" xfId="0" applyFont="1" applyFill="1" applyBorder="1" applyAlignment="1" applyProtection="1">
      <alignment horizontal="center" vertical="center"/>
    </xf>
    <xf numFmtId="0" fontId="18" fillId="0" borderId="58" xfId="0" applyFont="1" applyFill="1" applyBorder="1" applyAlignment="1" applyProtection="1">
      <alignment horizontal="center" vertical="center" shrinkToFit="1"/>
    </xf>
    <xf numFmtId="177" fontId="36" fillId="0" borderId="0" xfId="0" applyNumberFormat="1" applyFont="1" applyFill="1" applyBorder="1" applyAlignment="1" applyProtection="1">
      <alignment horizontal="center" vertical="center"/>
    </xf>
    <xf numFmtId="183" fontId="18" fillId="0" borderId="0" xfId="0" applyNumberFormat="1" applyFont="1" applyFill="1" applyBorder="1" applyAlignment="1" applyProtection="1">
      <alignment vertical="center"/>
    </xf>
    <xf numFmtId="184" fontId="36" fillId="0" borderId="0" xfId="0" applyNumberFormat="1" applyFont="1" applyFill="1" applyBorder="1" applyAlignment="1" applyProtection="1">
      <alignment horizontal="center" vertical="center"/>
    </xf>
    <xf numFmtId="0" fontId="9" fillId="0" borderId="0" xfId="1" applyFont="1" applyFill="1" applyBorder="1" applyAlignment="1" applyProtection="1">
      <alignment horizontal="center" vertical="center" wrapText="1" shrinkToFit="1"/>
    </xf>
    <xf numFmtId="177" fontId="9" fillId="0" borderId="0" xfId="1" applyNumberFormat="1" applyFont="1" applyFill="1" applyBorder="1" applyAlignment="1" applyProtection="1">
      <alignment horizontal="right" vertical="center" shrinkToFit="1"/>
    </xf>
    <xf numFmtId="0" fontId="9" fillId="0" borderId="0" xfId="1" applyFont="1" applyFill="1" applyBorder="1" applyAlignment="1" applyProtection="1">
      <alignment vertical="center" shrinkToFit="1"/>
    </xf>
    <xf numFmtId="199" fontId="36" fillId="0" borderId="0" xfId="4" applyNumberFormat="1" applyFont="1" applyFill="1" applyBorder="1" applyAlignment="1" applyProtection="1">
      <alignment vertical="center" shrinkToFit="1"/>
    </xf>
    <xf numFmtId="199" fontId="9" fillId="0" borderId="0" xfId="1" applyNumberFormat="1" applyFont="1" applyFill="1" applyBorder="1" applyAlignment="1" applyProtection="1">
      <alignment horizontal="right" vertical="center" shrinkToFit="1"/>
    </xf>
    <xf numFmtId="0" fontId="18" fillId="0" borderId="238" xfId="0" applyFont="1" applyFill="1" applyBorder="1" applyAlignment="1" applyProtection="1">
      <alignment horizontal="center" vertical="center" shrinkToFit="1"/>
    </xf>
    <xf numFmtId="0" fontId="18" fillId="0" borderId="105" xfId="0" applyFont="1" applyFill="1" applyBorder="1" applyAlignment="1" applyProtection="1">
      <alignment horizontal="center" vertical="center" shrinkToFit="1"/>
    </xf>
    <xf numFmtId="0" fontId="18" fillId="0" borderId="32" xfId="0" applyFont="1" applyFill="1" applyBorder="1" applyAlignment="1" applyProtection="1">
      <alignment horizontal="center" vertical="center" shrinkToFit="1"/>
    </xf>
    <xf numFmtId="0" fontId="51" fillId="2" borderId="0" xfId="3" applyFont="1" applyFill="1" applyAlignment="1" applyProtection="1">
      <alignment vertical="center" shrinkToFit="1"/>
    </xf>
    <xf numFmtId="0" fontId="51" fillId="0" borderId="0" xfId="3" applyFont="1" applyAlignment="1" applyProtection="1">
      <alignment vertical="center" shrinkToFit="1"/>
    </xf>
    <xf numFmtId="0" fontId="51" fillId="0" borderId="3" xfId="3" applyFont="1" applyBorder="1" applyAlignment="1" applyProtection="1">
      <alignment vertical="center" shrinkToFit="1"/>
    </xf>
    <xf numFmtId="0" fontId="52" fillId="0" borderId="3" xfId="3" applyFont="1" applyBorder="1" applyAlignment="1" applyProtection="1">
      <alignment shrinkToFit="1"/>
    </xf>
    <xf numFmtId="0" fontId="51" fillId="2" borderId="0" xfId="3" applyFont="1" applyFill="1" applyBorder="1" applyAlignment="1" applyProtection="1">
      <alignment vertical="center" shrinkToFit="1"/>
    </xf>
    <xf numFmtId="0" fontId="52" fillId="2" borderId="0" xfId="3" applyFont="1" applyFill="1" applyAlignment="1" applyProtection="1">
      <alignment shrinkToFit="1"/>
    </xf>
    <xf numFmtId="0" fontId="52" fillId="0" borderId="0" xfId="3" applyFont="1" applyAlignment="1" applyProtection="1">
      <alignment shrinkToFit="1"/>
    </xf>
    <xf numFmtId="0" fontId="52" fillId="2" borderId="0" xfId="3" applyFont="1" applyFill="1" applyBorder="1" applyAlignment="1" applyProtection="1">
      <alignment vertical="center" shrinkToFit="1"/>
    </xf>
    <xf numFmtId="0" fontId="52" fillId="2" borderId="9" xfId="3" applyFont="1" applyFill="1" applyBorder="1" applyAlignment="1" applyProtection="1">
      <alignment horizontal="center" vertical="center" shrinkToFit="1"/>
    </xf>
    <xf numFmtId="0" fontId="52" fillId="2" borderId="0" xfId="3" applyFont="1" applyFill="1" applyAlignment="1" applyProtection="1">
      <alignment vertical="center" shrinkToFit="1"/>
    </xf>
    <xf numFmtId="0" fontId="52" fillId="0" borderId="3" xfId="3" applyFont="1" applyBorder="1" applyAlignment="1" applyProtection="1">
      <alignment vertical="center" shrinkToFit="1"/>
    </xf>
    <xf numFmtId="14" fontId="52" fillId="0" borderId="3" xfId="3" applyNumberFormat="1" applyFont="1" applyBorder="1" applyAlignment="1" applyProtection="1">
      <alignment vertical="center" shrinkToFit="1"/>
    </xf>
    <xf numFmtId="0" fontId="52" fillId="2" borderId="17" xfId="3" applyFont="1" applyFill="1" applyBorder="1" applyAlignment="1" applyProtection="1">
      <alignment horizontal="center" vertical="center" shrinkToFit="1"/>
    </xf>
    <xf numFmtId="0" fontId="52" fillId="3" borderId="128" xfId="3" applyFont="1" applyFill="1" applyBorder="1" applyAlignment="1" applyProtection="1">
      <alignment horizontal="center" vertical="center" shrinkToFit="1"/>
    </xf>
    <xf numFmtId="203" fontId="52" fillId="2" borderId="340" xfId="3" applyNumberFormat="1" applyFont="1" applyFill="1" applyBorder="1" applyAlignment="1" applyProtection="1">
      <alignment horizontal="center" vertical="center" shrinkToFit="1"/>
    </xf>
    <xf numFmtId="14" fontId="52" fillId="0" borderId="3" xfId="3" applyNumberFormat="1" applyFont="1" applyBorder="1" applyAlignment="1" applyProtection="1">
      <alignment shrinkToFit="1"/>
    </xf>
    <xf numFmtId="203" fontId="52" fillId="2" borderId="335" xfId="3" applyNumberFormat="1" applyFont="1" applyFill="1" applyBorder="1" applyAlignment="1" applyProtection="1">
      <alignment horizontal="center" vertical="center" shrinkToFit="1"/>
    </xf>
    <xf numFmtId="203" fontId="52" fillId="2" borderId="337" xfId="3" applyNumberFormat="1" applyFont="1" applyFill="1" applyBorder="1" applyAlignment="1" applyProtection="1">
      <alignment horizontal="center" vertical="center" shrinkToFit="1"/>
    </xf>
    <xf numFmtId="0" fontId="52" fillId="2" borderId="128" xfId="3" applyFont="1" applyFill="1" applyBorder="1" applyAlignment="1" applyProtection="1">
      <alignment horizontal="center" vertical="center" shrinkToFit="1"/>
    </xf>
    <xf numFmtId="204" fontId="52" fillId="2" borderId="245" xfId="3" applyNumberFormat="1" applyFont="1" applyFill="1" applyBorder="1" applyAlignment="1" applyProtection="1">
      <alignment horizontal="center" vertical="center" shrinkToFit="1"/>
    </xf>
    <xf numFmtId="0" fontId="25" fillId="0" borderId="0" xfId="3" applyFont="1" applyAlignment="1" applyProtection="1">
      <alignment horizontal="right" vertical="center" textRotation="180" shrinkToFit="1"/>
    </xf>
    <xf numFmtId="0" fontId="25" fillId="2" borderId="0" xfId="3" applyFont="1" applyFill="1" applyBorder="1" applyAlignment="1" applyProtection="1">
      <alignment horizontal="left" vertical="center"/>
    </xf>
    <xf numFmtId="0" fontId="25" fillId="2" borderId="0" xfId="3" applyFont="1" applyFill="1" applyAlignment="1" applyProtection="1">
      <alignment vertical="center" shrinkToFit="1"/>
    </xf>
    <xf numFmtId="0" fontId="9" fillId="0" borderId="3" xfId="3" applyFont="1" applyBorder="1" applyAlignment="1" applyProtection="1">
      <alignment shrinkToFit="1"/>
    </xf>
    <xf numFmtId="0" fontId="25" fillId="0" borderId="0" xfId="3" applyFont="1" applyAlignment="1" applyProtection="1">
      <alignment vertical="center" shrinkToFit="1"/>
    </xf>
    <xf numFmtId="0" fontId="9" fillId="2" borderId="0" xfId="3" applyFont="1" applyFill="1" applyBorder="1" applyAlignment="1" applyProtection="1">
      <alignment vertical="center" shrinkToFit="1"/>
    </xf>
    <xf numFmtId="0" fontId="9" fillId="0" borderId="0" xfId="3" applyFont="1" applyAlignment="1" applyProtection="1">
      <alignment shrinkToFit="1"/>
    </xf>
    <xf numFmtId="0" fontId="9" fillId="0" borderId="0" xfId="3" applyFont="1" applyAlignment="1" applyProtection="1">
      <alignment vertical="top" textRotation="180" shrinkToFit="1"/>
    </xf>
    <xf numFmtId="0" fontId="9" fillId="2" borderId="0" xfId="3" applyFont="1" applyFill="1" applyBorder="1" applyAlignment="1" applyProtection="1">
      <alignment horizontal="center" vertical="center" shrinkToFit="1"/>
    </xf>
    <xf numFmtId="0" fontId="9" fillId="2" borderId="0" xfId="3" applyFont="1" applyFill="1" applyBorder="1" applyAlignment="1" applyProtection="1">
      <alignment horizontal="right" vertical="center"/>
    </xf>
    <xf numFmtId="0" fontId="9" fillId="0" borderId="30" xfId="3" applyFont="1" applyBorder="1" applyAlignment="1" applyProtection="1">
      <alignment shrinkToFit="1"/>
    </xf>
    <xf numFmtId="201" fontId="25" fillId="2" borderId="0" xfId="3" applyNumberFormat="1" applyFont="1" applyFill="1" applyBorder="1" applyAlignment="1" applyProtection="1">
      <alignment horizontal="left" vertical="center"/>
    </xf>
    <xf numFmtId="0" fontId="25" fillId="3" borderId="182" xfId="3" applyFont="1" applyFill="1" applyBorder="1" applyAlignment="1" applyProtection="1">
      <alignment horizontal="center" vertical="center" shrinkToFit="1"/>
    </xf>
    <xf numFmtId="0" fontId="25" fillId="3" borderId="183" xfId="3" applyFont="1" applyFill="1" applyBorder="1" applyAlignment="1" applyProtection="1">
      <alignment horizontal="center" vertical="center" shrinkToFit="1"/>
    </xf>
    <xf numFmtId="0" fontId="25" fillId="3" borderId="184" xfId="3" applyFont="1" applyFill="1" applyBorder="1" applyAlignment="1" applyProtection="1">
      <alignment horizontal="center" vertical="center" shrinkToFit="1"/>
    </xf>
    <xf numFmtId="194" fontId="9" fillId="0" borderId="0" xfId="3" applyNumberFormat="1" applyFont="1" applyBorder="1" applyAlignment="1" applyProtection="1">
      <alignment horizontal="center" vertical="center" shrinkToFit="1"/>
    </xf>
    <xf numFmtId="0" fontId="25" fillId="0" borderId="3" xfId="3" applyFont="1" applyBorder="1" applyAlignment="1" applyProtection="1">
      <alignment horizontal="center" vertical="center" shrinkToFit="1"/>
    </xf>
    <xf numFmtId="195" fontId="9" fillId="6" borderId="199" xfId="3" applyNumberFormat="1" applyFont="1" applyFill="1" applyBorder="1" applyAlignment="1" applyProtection="1">
      <alignment horizontal="center" vertical="center" shrinkToFit="1"/>
      <protection locked="0"/>
    </xf>
    <xf numFmtId="195" fontId="9" fillId="6" borderId="121" xfId="3" applyNumberFormat="1" applyFont="1" applyFill="1" applyBorder="1" applyAlignment="1" applyProtection="1">
      <alignment horizontal="center" vertical="center" shrinkToFit="1"/>
      <protection locked="0"/>
    </xf>
    <xf numFmtId="195" fontId="9" fillId="6" borderId="122" xfId="3" applyNumberFormat="1" applyFont="1" applyFill="1" applyBorder="1" applyAlignment="1" applyProtection="1">
      <alignment horizontal="center" vertical="center" shrinkToFit="1"/>
      <protection locked="0"/>
    </xf>
    <xf numFmtId="201" fontId="9" fillId="0" borderId="193" xfId="2" applyNumberFormat="1" applyFont="1" applyFill="1" applyBorder="1" applyAlignment="1" applyProtection="1">
      <alignment horizontal="right" vertical="center" shrinkToFit="1"/>
    </xf>
    <xf numFmtId="49" fontId="9" fillId="0" borderId="0" xfId="2" applyNumberFormat="1" applyFont="1" applyFill="1" applyBorder="1" applyAlignment="1" applyProtection="1">
      <alignment horizontal="right" vertical="center" shrinkToFit="1"/>
    </xf>
    <xf numFmtId="194" fontId="9" fillId="0" borderId="0" xfId="3" applyNumberFormat="1" applyFont="1" applyAlignment="1" applyProtection="1">
      <alignment shrinkToFit="1"/>
    </xf>
    <xf numFmtId="195" fontId="9" fillId="6" borderId="185" xfId="3" applyNumberFormat="1" applyFont="1" applyFill="1" applyBorder="1" applyAlignment="1" applyProtection="1">
      <alignment horizontal="center" vertical="center" shrinkToFit="1"/>
      <protection locked="0"/>
    </xf>
    <xf numFmtId="195" fontId="9" fillId="6" borderId="186" xfId="3" applyNumberFormat="1" applyFont="1" applyFill="1" applyBorder="1" applyAlignment="1" applyProtection="1">
      <alignment horizontal="center" vertical="center" shrinkToFit="1"/>
      <protection locked="0"/>
    </xf>
    <xf numFmtId="195" fontId="9" fillId="6" borderId="187" xfId="3" applyNumberFormat="1" applyFont="1" applyFill="1" applyBorder="1" applyAlignment="1" applyProtection="1">
      <alignment horizontal="center" vertical="center" shrinkToFit="1"/>
      <protection locked="0"/>
    </xf>
    <xf numFmtId="201" fontId="9" fillId="0" borderId="181" xfId="2" applyNumberFormat="1" applyFont="1" applyFill="1" applyBorder="1" applyAlignment="1" applyProtection="1">
      <alignment horizontal="right" vertical="center" shrinkToFit="1"/>
    </xf>
    <xf numFmtId="195" fontId="9" fillId="6" borderId="190" xfId="3" applyNumberFormat="1" applyFont="1" applyFill="1" applyBorder="1" applyAlignment="1" applyProtection="1">
      <alignment horizontal="center" vertical="center" shrinkToFit="1"/>
      <protection locked="0"/>
    </xf>
    <xf numFmtId="195" fontId="9" fillId="6" borderId="191" xfId="3" applyNumberFormat="1" applyFont="1" applyFill="1" applyBorder="1" applyAlignment="1" applyProtection="1">
      <alignment horizontal="center" vertical="center" shrinkToFit="1"/>
      <protection locked="0"/>
    </xf>
    <xf numFmtId="195" fontId="9" fillId="6" borderId="192" xfId="3" applyNumberFormat="1" applyFont="1" applyFill="1" applyBorder="1" applyAlignment="1" applyProtection="1">
      <alignment horizontal="center" vertical="center" shrinkToFit="1"/>
      <protection locked="0"/>
    </xf>
    <xf numFmtId="201" fontId="9" fillId="0" borderId="180" xfId="2" applyNumberFormat="1" applyFont="1" applyFill="1" applyBorder="1" applyAlignment="1" applyProtection="1">
      <alignment horizontal="right" vertical="center" shrinkToFit="1"/>
    </xf>
    <xf numFmtId="0" fontId="27" fillId="2" borderId="0" xfId="3" applyFont="1" applyFill="1" applyBorder="1" applyAlignment="1" applyProtection="1">
      <alignment horizontal="left" vertical="center"/>
    </xf>
    <xf numFmtId="0" fontId="9" fillId="3" borderId="175" xfId="3" applyFont="1" applyFill="1" applyBorder="1" applyAlignment="1" applyProtection="1">
      <alignment horizontal="center" vertical="center" shrinkToFit="1"/>
    </xf>
    <xf numFmtId="0" fontId="9" fillId="3" borderId="134" xfId="3" applyFont="1" applyFill="1" applyBorder="1" applyAlignment="1" applyProtection="1">
      <alignment horizontal="center" vertical="center" shrinkToFit="1"/>
    </xf>
    <xf numFmtId="0" fontId="9" fillId="2" borderId="136" xfId="3" applyFont="1" applyFill="1" applyBorder="1" applyAlignment="1" applyProtection="1">
      <alignment horizontal="center" vertical="center" shrinkToFit="1"/>
    </xf>
    <xf numFmtId="0" fontId="9" fillId="2" borderId="110" xfId="3" applyFont="1" applyFill="1" applyBorder="1" applyAlignment="1" applyProtection="1">
      <alignment horizontal="center" vertical="center" shrinkToFit="1"/>
    </xf>
    <xf numFmtId="0" fontId="9" fillId="2" borderId="178" xfId="3" applyFont="1" applyFill="1" applyBorder="1" applyAlignment="1" applyProtection="1">
      <alignment horizontal="center" vertical="center" shrinkToFit="1"/>
    </xf>
    <xf numFmtId="0" fontId="9" fillId="0" borderId="0" xfId="3" applyFont="1" applyBorder="1" applyAlignment="1" applyProtection="1">
      <alignment shrinkToFit="1"/>
    </xf>
    <xf numFmtId="0" fontId="57" fillId="2" borderId="0" xfId="3" applyFont="1" applyFill="1" applyBorder="1" applyAlignment="1" applyProtection="1">
      <alignment horizontal="left" vertical="center"/>
    </xf>
    <xf numFmtId="0" fontId="59" fillId="2" borderId="0" xfId="3" applyFont="1" applyFill="1" applyBorder="1" applyAlignment="1" applyProtection="1">
      <alignment horizontal="left" vertical="center"/>
    </xf>
    <xf numFmtId="0" fontId="49" fillId="2" borderId="0" xfId="3" applyFont="1" applyFill="1" applyBorder="1" applyAlignment="1" applyProtection="1">
      <alignment horizontal="left" vertical="center"/>
    </xf>
    <xf numFmtId="0" fontId="49" fillId="2" borderId="0" xfId="3" applyFont="1" applyFill="1" applyBorder="1" applyAlignment="1" applyProtection="1">
      <alignment vertical="center" wrapText="1"/>
    </xf>
    <xf numFmtId="0" fontId="60" fillId="2" borderId="40" xfId="0" applyFont="1" applyFill="1" applyBorder="1" applyAlignment="1" applyProtection="1">
      <alignment horizontal="left" vertical="center" wrapText="1"/>
    </xf>
    <xf numFmtId="0" fontId="61" fillId="2" borderId="0" xfId="3" applyFont="1" applyFill="1" applyBorder="1" applyAlignment="1" applyProtection="1">
      <alignment horizontal="left" vertical="center"/>
    </xf>
    <xf numFmtId="0" fontId="18" fillId="0" borderId="45" xfId="0" applyFont="1" applyFill="1" applyBorder="1" applyAlignment="1" applyProtection="1">
      <alignment horizontal="center" vertical="center" shrinkToFit="1"/>
    </xf>
    <xf numFmtId="0" fontId="18" fillId="0" borderId="50" xfId="0" applyFont="1" applyFill="1" applyBorder="1" applyAlignment="1" applyProtection="1">
      <alignment horizontal="center" vertical="center" shrinkToFit="1"/>
    </xf>
    <xf numFmtId="0" fontId="18" fillId="0" borderId="30" xfId="0" applyFont="1" applyFill="1" applyBorder="1" applyAlignment="1" applyProtection="1">
      <alignment horizontal="center" vertical="center" shrinkToFit="1"/>
    </xf>
    <xf numFmtId="0" fontId="18" fillId="0" borderId="395" xfId="0" applyFont="1" applyFill="1" applyBorder="1" applyAlignment="1" applyProtection="1">
      <alignment horizontal="center" vertical="center" shrinkToFit="1"/>
    </xf>
    <xf numFmtId="0" fontId="18" fillId="0" borderId="19" xfId="0" applyFont="1" applyFill="1" applyBorder="1" applyAlignment="1" applyProtection="1">
      <alignment horizontal="center" vertical="center" shrinkToFit="1"/>
    </xf>
    <xf numFmtId="0" fontId="18" fillId="0" borderId="9" xfId="0" applyFont="1" applyFill="1" applyBorder="1" applyAlignment="1" applyProtection="1">
      <alignment horizontal="center" vertical="center" shrinkToFit="1"/>
    </xf>
    <xf numFmtId="0" fontId="18" fillId="0" borderId="266" xfId="0" applyFont="1" applyFill="1" applyBorder="1" applyAlignment="1" applyProtection="1">
      <alignment horizontal="center" vertical="center" shrinkToFit="1"/>
    </xf>
    <xf numFmtId="0" fontId="36" fillId="0" borderId="4" xfId="0" applyFont="1" applyFill="1" applyBorder="1" applyAlignment="1" applyProtection="1">
      <alignment horizontal="center" vertical="center" shrinkToFit="1"/>
    </xf>
    <xf numFmtId="0" fontId="18" fillId="0" borderId="396" xfId="0" applyFont="1" applyFill="1" applyBorder="1" applyAlignment="1" applyProtection="1">
      <alignment horizontal="center" vertical="center" shrinkToFit="1"/>
    </xf>
    <xf numFmtId="0" fontId="18" fillId="0" borderId="40" xfId="0" applyFont="1" applyFill="1" applyBorder="1" applyAlignment="1" applyProtection="1">
      <alignment vertical="center"/>
    </xf>
    <xf numFmtId="38" fontId="18" fillId="0" borderId="12" xfId="4" applyFont="1" applyFill="1" applyBorder="1" applyAlignment="1" applyProtection="1">
      <alignment vertical="center"/>
    </xf>
    <xf numFmtId="38" fontId="18" fillId="0" borderId="13" xfId="4" applyFont="1" applyFill="1" applyBorder="1" applyAlignment="1" applyProtection="1">
      <alignment vertical="center"/>
    </xf>
    <xf numFmtId="0" fontId="18" fillId="0" borderId="397" xfId="0" applyFont="1" applyFill="1" applyBorder="1" applyAlignment="1" applyProtection="1">
      <alignment horizontal="center" vertical="center" shrinkToFit="1"/>
    </xf>
    <xf numFmtId="0" fontId="18" fillId="0" borderId="28" xfId="0" applyFont="1" applyFill="1" applyBorder="1" applyAlignment="1" applyProtection="1">
      <alignment horizontal="center" vertical="center"/>
    </xf>
    <xf numFmtId="0" fontId="18" fillId="0" borderId="0" xfId="0" applyFont="1" applyFill="1" applyBorder="1" applyAlignment="1" applyProtection="1">
      <alignment horizontal="center" vertical="center" shrinkToFit="1"/>
    </xf>
    <xf numFmtId="0" fontId="9" fillId="0" borderId="65" xfId="0" applyFont="1" applyFill="1" applyBorder="1" applyAlignment="1" applyProtection="1">
      <alignment horizontal="center" vertical="center" shrinkToFit="1"/>
    </xf>
    <xf numFmtId="0" fontId="9" fillId="0" borderId="13" xfId="0" applyFont="1" applyFill="1" applyBorder="1" applyAlignment="1" applyProtection="1">
      <alignment horizontal="center" vertical="center"/>
    </xf>
    <xf numFmtId="0" fontId="36" fillId="0" borderId="45" xfId="0" applyFont="1" applyFill="1" applyBorder="1" applyAlignment="1" applyProtection="1">
      <alignment horizontal="center" vertical="center"/>
    </xf>
    <xf numFmtId="0" fontId="18" fillId="0" borderId="20" xfId="0" applyFont="1" applyFill="1" applyBorder="1" applyAlignment="1" applyProtection="1">
      <alignment horizontal="center" vertical="center" shrinkToFit="1"/>
    </xf>
    <xf numFmtId="0" fontId="18" fillId="0" borderId="9" xfId="0" applyFont="1" applyFill="1" applyBorder="1" applyAlignment="1" applyProtection="1">
      <alignment horizontal="center" vertical="center" shrinkToFit="1"/>
    </xf>
    <xf numFmtId="0" fontId="18" fillId="0" borderId="47" xfId="0" applyFont="1" applyFill="1" applyBorder="1" applyAlignment="1" applyProtection="1">
      <alignment vertical="center"/>
    </xf>
    <xf numFmtId="0" fontId="18" fillId="0" borderId="145" xfId="0" applyFont="1" applyFill="1" applyBorder="1" applyAlignment="1" applyProtection="1">
      <alignment horizontal="center" vertical="center" shrinkToFit="1"/>
    </xf>
    <xf numFmtId="0" fontId="18" fillId="0" borderId="43" xfId="0" applyFont="1" applyFill="1" applyBorder="1" applyAlignment="1" applyProtection="1">
      <alignment horizontal="center" vertical="center" shrinkToFit="1"/>
    </xf>
    <xf numFmtId="0" fontId="19" fillId="0" borderId="235" xfId="0" applyFont="1" applyFill="1" applyBorder="1" applyAlignment="1" applyProtection="1">
      <alignment horizontal="center" vertical="center" shrinkToFit="1"/>
    </xf>
    <xf numFmtId="0" fontId="18" fillId="0" borderId="12" xfId="0" applyFont="1" applyFill="1" applyBorder="1" applyAlignment="1" applyProtection="1">
      <alignment horizontal="center" vertical="center" shrinkToFit="1"/>
    </xf>
    <xf numFmtId="38" fontId="18" fillId="0" borderId="13" xfId="0" applyNumberFormat="1" applyFont="1" applyFill="1" applyBorder="1" applyAlignment="1" applyProtection="1">
      <alignment horizontal="center" vertical="center" shrinkToFit="1"/>
    </xf>
    <xf numFmtId="0" fontId="18" fillId="0" borderId="15" xfId="0" applyFont="1" applyFill="1" applyBorder="1" applyAlignment="1" applyProtection="1">
      <alignment horizontal="center" vertical="center" shrinkToFit="1"/>
    </xf>
    <xf numFmtId="0" fontId="18" fillId="0" borderId="107" xfId="0" applyFont="1" applyFill="1" applyBorder="1" applyAlignment="1" applyProtection="1">
      <alignment horizontal="center" vertical="center" shrinkToFit="1"/>
    </xf>
    <xf numFmtId="0" fontId="18" fillId="0" borderId="14" xfId="0" applyFont="1" applyFill="1" applyBorder="1" applyAlignment="1" applyProtection="1">
      <alignment horizontal="center" vertical="center" shrinkToFit="1"/>
    </xf>
    <xf numFmtId="0" fontId="18" fillId="0" borderId="253" xfId="0" applyFont="1" applyFill="1" applyBorder="1" applyAlignment="1" applyProtection="1">
      <alignment horizontal="center" vertical="center" shrinkToFit="1"/>
    </xf>
    <xf numFmtId="38" fontId="18" fillId="0" borderId="17" xfId="0" applyNumberFormat="1" applyFont="1" applyFill="1" applyBorder="1" applyAlignment="1" applyProtection="1">
      <alignment horizontal="center" vertical="center" shrinkToFit="1"/>
    </xf>
    <xf numFmtId="0" fontId="36" fillId="0" borderId="44" xfId="0" applyFont="1" applyFill="1" applyBorder="1" applyAlignment="1" applyProtection="1">
      <alignment horizontal="center" vertical="center"/>
    </xf>
    <xf numFmtId="0" fontId="19" fillId="0" borderId="399" xfId="0" applyFont="1" applyFill="1" applyBorder="1" applyAlignment="1" applyProtection="1">
      <alignment horizontal="center" vertical="center" shrinkToFit="1"/>
    </xf>
    <xf numFmtId="0" fontId="19" fillId="0" borderId="237" xfId="0" applyFont="1" applyFill="1" applyBorder="1" applyAlignment="1" applyProtection="1">
      <alignment horizontal="center" vertical="center" shrinkToFit="1"/>
    </xf>
    <xf numFmtId="0" fontId="19" fillId="0" borderId="400" xfId="0" applyFont="1" applyFill="1" applyBorder="1" applyAlignment="1" applyProtection="1">
      <alignment horizontal="center" vertical="center" shrinkToFit="1"/>
    </xf>
    <xf numFmtId="0" fontId="19" fillId="0" borderId="238" xfId="0" applyFont="1" applyFill="1" applyBorder="1" applyAlignment="1" applyProtection="1">
      <alignment horizontal="center" vertical="center" shrinkToFit="1"/>
    </xf>
    <xf numFmtId="0" fontId="19" fillId="0" borderId="402" xfId="0" applyFont="1" applyFill="1" applyBorder="1" applyAlignment="1" applyProtection="1">
      <alignment horizontal="center" vertical="center" shrinkToFit="1"/>
    </xf>
    <xf numFmtId="0" fontId="19" fillId="0" borderId="405" xfId="0" applyFont="1" applyFill="1" applyBorder="1" applyAlignment="1" applyProtection="1">
      <alignment horizontal="center" vertical="center" shrinkToFit="1"/>
    </xf>
    <xf numFmtId="0" fontId="19" fillId="0" borderId="403" xfId="0" applyFont="1" applyFill="1" applyBorder="1" applyAlignment="1" applyProtection="1">
      <alignment horizontal="center" vertical="center" shrinkToFit="1"/>
    </xf>
    <xf numFmtId="0" fontId="19" fillId="0" borderId="406" xfId="0" applyFont="1" applyFill="1" applyBorder="1" applyAlignment="1" applyProtection="1">
      <alignment horizontal="center" vertical="center" shrinkToFit="1"/>
    </xf>
    <xf numFmtId="0" fontId="18" fillId="0" borderId="108" xfId="0" applyFont="1" applyFill="1" applyBorder="1" applyAlignment="1" applyProtection="1">
      <alignment horizontal="center" vertical="center" shrinkToFit="1"/>
    </xf>
    <xf numFmtId="0" fontId="18" fillId="0" borderId="407" xfId="0" applyFont="1" applyFill="1" applyBorder="1" applyAlignment="1" applyProtection="1">
      <alignment horizontal="center" vertical="center" shrinkToFit="1"/>
    </xf>
    <xf numFmtId="0" fontId="19" fillId="0" borderId="408" xfId="0" applyFont="1" applyFill="1" applyBorder="1" applyAlignment="1" applyProtection="1">
      <alignment horizontal="center" vertical="center" shrinkToFit="1"/>
    </xf>
    <xf numFmtId="0" fontId="19" fillId="0" borderId="397" xfId="0" applyFont="1" applyFill="1" applyBorder="1" applyAlignment="1" applyProtection="1">
      <alignment horizontal="center" vertical="center" shrinkToFit="1"/>
    </xf>
    <xf numFmtId="0" fontId="19" fillId="0" borderId="401" xfId="0" applyFont="1" applyFill="1" applyBorder="1" applyAlignment="1" applyProtection="1">
      <alignment horizontal="center" vertical="center" shrinkToFit="1"/>
    </xf>
    <xf numFmtId="0" fontId="18" fillId="0" borderId="106" xfId="0" applyFont="1" applyFill="1" applyBorder="1" applyAlignment="1" applyProtection="1">
      <alignment horizontal="center" vertical="center" shrinkToFit="1"/>
    </xf>
    <xf numFmtId="38" fontId="19" fillId="0" borderId="237" xfId="0" applyNumberFormat="1" applyFont="1" applyFill="1" applyBorder="1" applyAlignment="1" applyProtection="1">
      <alignment horizontal="center" vertical="center" shrinkToFit="1"/>
    </xf>
    <xf numFmtId="2" fontId="18" fillId="0" borderId="19" xfId="0" applyNumberFormat="1" applyFont="1" applyFill="1" applyBorder="1" applyAlignment="1" applyProtection="1">
      <alignment horizontal="center" vertical="center" shrinkToFit="1"/>
    </xf>
    <xf numFmtId="2" fontId="18" fillId="0" borderId="20" xfId="0" applyNumberFormat="1" applyFont="1" applyFill="1" applyBorder="1" applyAlignment="1" applyProtection="1">
      <alignment horizontal="center" vertical="center" shrinkToFit="1"/>
    </xf>
    <xf numFmtId="2" fontId="18" fillId="0" borderId="16" xfId="0" applyNumberFormat="1" applyFont="1" applyFill="1" applyBorder="1" applyAlignment="1" applyProtection="1">
      <alignment horizontal="center" vertical="center" shrinkToFit="1"/>
    </xf>
    <xf numFmtId="0" fontId="36" fillId="0" borderId="18" xfId="0" applyFont="1" applyFill="1" applyBorder="1" applyAlignment="1" applyProtection="1">
      <alignment horizontal="center" vertical="center" shrinkToFit="1"/>
    </xf>
    <xf numFmtId="2" fontId="19" fillId="0" borderId="397" xfId="0" applyNumberFormat="1" applyFont="1" applyFill="1" applyBorder="1" applyAlignment="1" applyProtection="1">
      <alignment horizontal="center" vertical="center" shrinkToFit="1"/>
    </xf>
    <xf numFmtId="2" fontId="19" fillId="0" borderId="401" xfId="0" applyNumberFormat="1" applyFont="1" applyFill="1" applyBorder="1" applyAlignment="1" applyProtection="1">
      <alignment horizontal="center" vertical="center" shrinkToFit="1"/>
    </xf>
    <xf numFmtId="2" fontId="19" fillId="0" borderId="237" xfId="0" applyNumberFormat="1" applyFont="1" applyFill="1" applyBorder="1" applyAlignment="1" applyProtection="1">
      <alignment horizontal="center" vertical="center" shrinkToFit="1"/>
    </xf>
    <xf numFmtId="38" fontId="18" fillId="0" borderId="16" xfId="0" applyNumberFormat="1" applyFont="1" applyFill="1" applyBorder="1" applyAlignment="1" applyProtection="1">
      <alignment horizontal="center" vertical="center" shrinkToFit="1"/>
    </xf>
    <xf numFmtId="0" fontId="18" fillId="0" borderId="18" xfId="0" applyFont="1" applyFill="1" applyBorder="1" applyAlignment="1" applyProtection="1">
      <alignment horizontal="center" vertical="center" shrinkToFit="1"/>
    </xf>
    <xf numFmtId="0" fontId="36" fillId="0" borderId="18" xfId="0" applyFont="1" applyFill="1" applyBorder="1" applyAlignment="1" applyProtection="1">
      <alignment horizontal="center" vertical="center"/>
    </xf>
    <xf numFmtId="0" fontId="18" fillId="0" borderId="408" xfId="0" applyFont="1" applyFill="1" applyBorder="1" applyAlignment="1" applyProtection="1">
      <alignment horizontal="center" vertical="center" shrinkToFit="1"/>
    </xf>
    <xf numFmtId="0" fontId="18" fillId="0" borderId="3" xfId="0" applyFont="1" applyFill="1" applyBorder="1" applyAlignment="1" applyProtection="1">
      <alignment vertical="center" shrinkToFit="1"/>
    </xf>
    <xf numFmtId="0" fontId="18" fillId="0" borderId="5" xfId="0" applyFont="1" applyFill="1" applyBorder="1" applyAlignment="1" applyProtection="1">
      <alignment vertical="center" shrinkToFit="1"/>
    </xf>
    <xf numFmtId="0" fontId="19" fillId="0" borderId="104" xfId="0" applyFont="1" applyFill="1" applyBorder="1" applyAlignment="1" applyProtection="1">
      <alignment vertical="center" shrinkToFit="1"/>
    </xf>
    <xf numFmtId="0" fontId="18" fillId="0" borderId="16" xfId="0" applyFont="1" applyFill="1" applyBorder="1" applyAlignment="1" applyProtection="1">
      <alignment vertical="center" shrinkToFit="1"/>
    </xf>
    <xf numFmtId="0" fontId="18" fillId="0" borderId="58" xfId="0" applyFont="1" applyFill="1" applyBorder="1" applyAlignment="1" applyProtection="1">
      <alignment vertical="center" shrinkToFit="1"/>
    </xf>
    <xf numFmtId="0" fontId="9" fillId="0" borderId="65" xfId="0" applyNumberFormat="1" applyFont="1" applyFill="1" applyBorder="1" applyAlignment="1" applyProtection="1">
      <alignment horizontal="center" vertical="center" shrinkToFit="1"/>
    </xf>
    <xf numFmtId="0" fontId="9" fillId="0" borderId="65" xfId="0" applyFont="1" applyFill="1" applyBorder="1" applyAlignment="1" applyProtection="1">
      <alignment horizontal="center" vertical="center"/>
    </xf>
    <xf numFmtId="0" fontId="9" fillId="0" borderId="58" xfId="0" applyFont="1" applyFill="1" applyBorder="1" applyAlignment="1" applyProtection="1">
      <alignment horizontal="center" vertical="center"/>
    </xf>
    <xf numFmtId="0" fontId="9" fillId="0" borderId="58" xfId="0" applyFont="1" applyFill="1" applyBorder="1" applyAlignment="1" applyProtection="1">
      <alignment vertical="center"/>
    </xf>
    <xf numFmtId="0" fontId="9" fillId="0" borderId="4" xfId="0" applyFont="1" applyFill="1" applyBorder="1" applyAlignment="1" applyProtection="1">
      <alignment vertical="center"/>
    </xf>
    <xf numFmtId="0" fontId="9" fillId="0" borderId="59" xfId="0" applyFont="1" applyFill="1" applyBorder="1" applyAlignment="1" applyProtection="1">
      <alignment vertical="center"/>
    </xf>
    <xf numFmtId="0" fontId="25" fillId="0" borderId="44" xfId="0" applyFont="1" applyFill="1" applyBorder="1" applyAlignment="1" applyProtection="1">
      <alignment horizontal="center" vertical="center"/>
    </xf>
    <xf numFmtId="0" fontId="25" fillId="0" borderId="45" xfId="0" applyFont="1" applyFill="1" applyBorder="1" applyAlignment="1" applyProtection="1">
      <alignment horizontal="center" vertical="center"/>
    </xf>
    <xf numFmtId="0" fontId="25" fillId="0" borderId="5" xfId="0" applyFont="1" applyFill="1" applyBorder="1" applyAlignment="1" applyProtection="1">
      <alignment horizontal="center" vertical="center" shrinkToFit="1"/>
    </xf>
    <xf numFmtId="0" fontId="9" fillId="0" borderId="42" xfId="0" applyFont="1" applyFill="1" applyBorder="1" applyAlignment="1" applyProtection="1">
      <alignment horizontal="center" vertical="center"/>
    </xf>
    <xf numFmtId="0" fontId="9" fillId="0" borderId="2" xfId="0" applyFont="1" applyFill="1" applyBorder="1" applyAlignment="1" applyProtection="1">
      <alignment horizontal="center" vertical="center"/>
    </xf>
    <xf numFmtId="0" fontId="9" fillId="0" borderId="13" xfId="0" applyFont="1" applyFill="1" applyBorder="1" applyAlignment="1" applyProtection="1">
      <alignment vertical="center"/>
    </xf>
    <xf numFmtId="0" fontId="9" fillId="0" borderId="52" xfId="0" applyFont="1" applyFill="1" applyBorder="1" applyAlignment="1" applyProtection="1">
      <alignment vertical="center"/>
    </xf>
    <xf numFmtId="0" fontId="9" fillId="0" borderId="43" xfId="0" applyFont="1" applyFill="1" applyBorder="1" applyAlignment="1" applyProtection="1">
      <alignment horizontal="center" vertical="center"/>
    </xf>
    <xf numFmtId="0" fontId="9" fillId="0" borderId="42" xfId="0" applyFont="1" applyFill="1" applyBorder="1" applyAlignment="1" applyProtection="1">
      <alignment horizontal="center" vertical="center" shrinkToFit="1"/>
    </xf>
    <xf numFmtId="0" fontId="19" fillId="0" borderId="10" xfId="0" applyFont="1" applyFill="1" applyBorder="1" applyProtection="1">
      <alignment vertical="center"/>
    </xf>
    <xf numFmtId="0" fontId="18" fillId="0" borderId="33" xfId="0" applyFont="1" applyFill="1" applyBorder="1" applyAlignment="1" applyProtection="1">
      <alignment horizontal="center" vertical="center"/>
    </xf>
    <xf numFmtId="0" fontId="18" fillId="0" borderId="33" xfId="0" applyFont="1" applyFill="1" applyBorder="1" applyAlignment="1" applyProtection="1">
      <alignment vertical="center"/>
    </xf>
    <xf numFmtId="0" fontId="19" fillId="0" borderId="35" xfId="0" applyFont="1" applyFill="1" applyBorder="1" applyAlignment="1" applyProtection="1">
      <alignment vertical="center"/>
    </xf>
    <xf numFmtId="0" fontId="18" fillId="0" borderId="36" xfId="0" applyFont="1" applyFill="1" applyBorder="1" applyAlignment="1" applyProtection="1">
      <alignment vertical="center"/>
    </xf>
    <xf numFmtId="0" fontId="18" fillId="0" borderId="36" xfId="0" applyFont="1" applyFill="1" applyBorder="1" applyProtection="1">
      <alignment vertical="center"/>
    </xf>
    <xf numFmtId="0" fontId="18" fillId="0" borderId="37" xfId="0" applyFont="1" applyFill="1" applyBorder="1" applyProtection="1">
      <alignment vertical="center"/>
    </xf>
    <xf numFmtId="14" fontId="18" fillId="0" borderId="395" xfId="0" applyNumberFormat="1" applyFont="1" applyBorder="1" applyAlignment="1" applyProtection="1">
      <alignment vertical="center" shrinkToFit="1"/>
    </xf>
    <xf numFmtId="0" fontId="18" fillId="0" borderId="397" xfId="0" applyFont="1" applyBorder="1" applyAlignment="1" applyProtection="1">
      <alignment vertical="center" shrinkToFit="1"/>
    </xf>
    <xf numFmtId="0" fontId="18" fillId="0" borderId="237" xfId="0" applyFont="1" applyBorder="1" applyProtection="1">
      <alignment vertical="center"/>
    </xf>
    <xf numFmtId="0" fontId="18" fillId="0" borderId="238" xfId="0" applyFont="1" applyBorder="1" applyProtection="1">
      <alignment vertical="center"/>
    </xf>
    <xf numFmtId="0" fontId="25" fillId="0" borderId="145" xfId="0" applyFont="1" applyFill="1" applyBorder="1" applyAlignment="1" applyProtection="1">
      <alignment horizontal="center" vertical="center" wrapText="1" shrinkToFit="1"/>
    </xf>
    <xf numFmtId="0" fontId="25" fillId="0" borderId="219" xfId="0" applyFont="1" applyFill="1" applyBorder="1" applyAlignment="1" applyProtection="1">
      <alignment horizontal="center" vertical="center" wrapText="1" shrinkToFit="1"/>
    </xf>
    <xf numFmtId="0" fontId="25" fillId="0" borderId="271" xfId="0" applyFont="1" applyFill="1" applyBorder="1" applyAlignment="1" applyProtection="1">
      <alignment horizontal="center" vertical="center" wrapText="1" shrinkToFit="1"/>
    </xf>
    <xf numFmtId="0" fontId="43" fillId="0" borderId="55" xfId="0" applyFont="1" applyFill="1" applyBorder="1" applyAlignment="1" applyProtection="1">
      <alignment horizontal="center" vertical="center" wrapText="1"/>
    </xf>
    <xf numFmtId="0" fontId="43" fillId="0" borderId="345" xfId="0" applyFont="1" applyFill="1" applyBorder="1" applyAlignment="1" applyProtection="1">
      <alignment horizontal="center" vertical="center" wrapText="1"/>
    </xf>
    <xf numFmtId="0" fontId="43" fillId="0" borderId="253" xfId="0" applyFont="1" applyFill="1" applyBorder="1" applyAlignment="1" applyProtection="1">
      <alignment horizontal="center" vertical="center" wrapText="1"/>
    </xf>
    <xf numFmtId="0" fontId="19" fillId="0" borderId="403" xfId="0" applyFont="1" applyFill="1" applyBorder="1" applyAlignment="1" applyProtection="1">
      <alignment horizontal="center" vertical="center" shrinkToFit="1"/>
    </xf>
    <xf numFmtId="0" fontId="19" fillId="0" borderId="400" xfId="0" applyFont="1" applyFill="1" applyBorder="1" applyAlignment="1" applyProtection="1">
      <alignment horizontal="center" vertical="center" shrinkToFit="1"/>
    </xf>
    <xf numFmtId="0" fontId="36" fillId="2" borderId="0" xfId="0" applyFont="1" applyFill="1" applyAlignment="1" applyProtection="1">
      <alignment vertical="center"/>
    </xf>
    <xf numFmtId="0" fontId="18" fillId="2" borderId="0" xfId="0" applyFont="1" applyFill="1" applyAlignment="1" applyProtection="1">
      <alignment vertical="center"/>
    </xf>
    <xf numFmtId="0" fontId="50" fillId="2" borderId="0" xfId="0" applyFont="1" applyFill="1" applyAlignment="1" applyProtection="1">
      <alignment vertical="center"/>
    </xf>
    <xf numFmtId="0" fontId="36" fillId="2" borderId="0" xfId="0" applyFont="1" applyFill="1" applyAlignment="1" applyProtection="1">
      <alignment horizontal="right" vertical="center"/>
    </xf>
    <xf numFmtId="0" fontId="36" fillId="2" borderId="0" xfId="0" applyFont="1" applyFill="1" applyAlignment="1" applyProtection="1">
      <alignment horizontal="center" vertical="center"/>
    </xf>
    <xf numFmtId="0" fontId="9" fillId="2" borderId="0" xfId="0" applyFont="1" applyFill="1" applyBorder="1" applyAlignment="1" applyProtection="1">
      <alignment vertical="center" shrinkToFit="1"/>
    </xf>
    <xf numFmtId="0" fontId="36" fillId="2" borderId="0" xfId="0" applyFont="1" applyFill="1" applyAlignment="1" applyProtection="1">
      <alignment horizontal="left" vertical="center"/>
    </xf>
    <xf numFmtId="0" fontId="18" fillId="2" borderId="0" xfId="0" applyFont="1" applyFill="1" applyBorder="1" applyAlignment="1" applyProtection="1">
      <alignment vertical="center"/>
    </xf>
    <xf numFmtId="0" fontId="18" fillId="2" borderId="0" xfId="0" applyFont="1" applyFill="1" applyProtection="1">
      <alignment vertical="center"/>
    </xf>
    <xf numFmtId="192" fontId="18" fillId="2" borderId="163" xfId="0" applyNumberFormat="1" applyFont="1" applyFill="1" applyBorder="1" applyAlignment="1" applyProtection="1">
      <alignment vertical="center" shrinkToFit="1"/>
    </xf>
    <xf numFmtId="192" fontId="18" fillId="2" borderId="280" xfId="0" applyNumberFormat="1" applyFont="1" applyFill="1" applyBorder="1" applyAlignment="1" applyProtection="1">
      <alignment vertical="center" shrinkToFit="1"/>
    </xf>
    <xf numFmtId="0" fontId="18" fillId="2" borderId="162" xfId="0" applyFont="1" applyFill="1" applyBorder="1" applyAlignment="1" applyProtection="1">
      <alignment horizontal="center" vertical="center"/>
    </xf>
    <xf numFmtId="0" fontId="18" fillId="2" borderId="277" xfId="0" applyFont="1" applyFill="1" applyBorder="1" applyAlignment="1" applyProtection="1">
      <alignment horizontal="center" vertical="center"/>
    </xf>
    <xf numFmtId="0" fontId="18" fillId="2" borderId="4" xfId="0" applyFont="1" applyFill="1" applyBorder="1" applyAlignment="1" applyProtection="1">
      <alignment horizontal="center" vertical="center"/>
    </xf>
    <xf numFmtId="0" fontId="18" fillId="2" borderId="4" xfId="0" applyFont="1" applyFill="1" applyBorder="1" applyAlignment="1" applyProtection="1">
      <alignment horizontal="center" vertical="center" shrinkToFit="1"/>
    </xf>
    <xf numFmtId="0" fontId="18" fillId="2" borderId="357" xfId="0" applyFont="1" applyFill="1" applyBorder="1" applyAlignment="1" applyProtection="1">
      <alignment horizontal="center" vertical="center" shrinkToFit="1"/>
    </xf>
    <xf numFmtId="2" fontId="18" fillId="2" borderId="0" xfId="0" applyNumberFormat="1" applyFont="1" applyFill="1" applyBorder="1" applyAlignment="1" applyProtection="1">
      <alignment horizontal="center" vertical="center" shrinkToFit="1"/>
    </xf>
    <xf numFmtId="2" fontId="18" fillId="2" borderId="129" xfId="0" applyNumberFormat="1" applyFont="1" applyFill="1" applyBorder="1" applyAlignment="1" applyProtection="1">
      <alignment horizontal="center" vertical="center" shrinkToFit="1"/>
    </xf>
    <xf numFmtId="2" fontId="18" fillId="2" borderId="280" xfId="0" applyNumberFormat="1" applyFont="1" applyFill="1" applyBorder="1" applyAlignment="1" applyProtection="1">
      <alignment horizontal="center" vertical="center" shrinkToFit="1"/>
    </xf>
    <xf numFmtId="2" fontId="18" fillId="2" borderId="367" xfId="0" applyNumberFormat="1" applyFont="1" applyFill="1" applyBorder="1" applyAlignment="1" applyProtection="1">
      <alignment horizontal="center" vertical="center" shrinkToFit="1"/>
    </xf>
    <xf numFmtId="0" fontId="18" fillId="2" borderId="335" xfId="0" applyFont="1" applyFill="1" applyBorder="1" applyAlignment="1" applyProtection="1">
      <alignment horizontal="center" vertical="center" shrinkToFit="1"/>
    </xf>
    <xf numFmtId="0" fontId="18" fillId="2" borderId="0" xfId="0" applyFont="1" applyFill="1" applyAlignment="1" applyProtection="1">
      <alignment horizontal="center" vertical="center"/>
    </xf>
    <xf numFmtId="0" fontId="18" fillId="2" borderId="353" xfId="0" applyFont="1" applyFill="1" applyBorder="1" applyAlignment="1" applyProtection="1">
      <alignment horizontal="center" vertical="center" shrinkToFit="1"/>
    </xf>
    <xf numFmtId="2" fontId="18" fillId="2" borderId="419" xfId="0" applyNumberFormat="1" applyFont="1" applyFill="1" applyBorder="1" applyAlignment="1" applyProtection="1">
      <alignment horizontal="center" vertical="center" shrinkToFit="1"/>
    </xf>
    <xf numFmtId="2" fontId="18" fillId="2" borderId="131" xfId="0" applyNumberFormat="1" applyFont="1" applyFill="1" applyBorder="1" applyAlignment="1" applyProtection="1">
      <alignment horizontal="center" vertical="center" shrinkToFit="1"/>
    </xf>
    <xf numFmtId="2" fontId="18" fillId="2" borderId="422" xfId="0" applyNumberFormat="1" applyFont="1" applyFill="1" applyBorder="1" applyAlignment="1" applyProtection="1">
      <alignment horizontal="center" vertical="center" shrinkToFit="1"/>
    </xf>
    <xf numFmtId="2" fontId="18" fillId="2" borderId="176" xfId="0" applyNumberFormat="1" applyFont="1" applyFill="1" applyBorder="1" applyAlignment="1" applyProtection="1">
      <alignment horizontal="center" vertical="center" shrinkToFit="1"/>
    </xf>
    <xf numFmtId="0" fontId="18" fillId="2" borderId="0" xfId="0" applyFont="1" applyFill="1" applyBorder="1" applyAlignment="1" applyProtection="1">
      <alignment horizontal="left" vertical="center"/>
    </xf>
    <xf numFmtId="0" fontId="18" fillId="2" borderId="0" xfId="0" applyFont="1" applyFill="1" applyBorder="1" applyAlignment="1" applyProtection="1">
      <alignment vertical="center" shrinkToFit="1"/>
    </xf>
    <xf numFmtId="0" fontId="41" fillId="2" borderId="0" xfId="0" applyFont="1" applyFill="1" applyBorder="1" applyAlignment="1" applyProtection="1">
      <alignment vertical="center" wrapText="1"/>
    </xf>
    <xf numFmtId="2" fontId="18" fillId="2" borderId="0" xfId="0" applyNumberFormat="1" applyFont="1" applyFill="1" applyBorder="1" applyAlignment="1" applyProtection="1">
      <alignment horizontal="center" vertical="center"/>
    </xf>
    <xf numFmtId="2" fontId="18" fillId="2" borderId="0" xfId="0" applyNumberFormat="1" applyFont="1" applyFill="1" applyBorder="1" applyAlignment="1" applyProtection="1">
      <alignment horizontal="left" vertical="center"/>
    </xf>
    <xf numFmtId="208" fontId="36" fillId="2" borderId="343" xfId="0" applyNumberFormat="1" applyFont="1" applyFill="1" applyBorder="1" applyAlignment="1" applyProtection="1">
      <alignment horizontal="right" vertical="center"/>
    </xf>
    <xf numFmtId="208" fontId="36" fillId="2" borderId="173" xfId="0" applyNumberFormat="1" applyFont="1" applyFill="1" applyBorder="1" applyAlignment="1" applyProtection="1">
      <alignment horizontal="right" vertical="center"/>
    </xf>
    <xf numFmtId="212" fontId="36" fillId="2" borderId="242" xfId="0" applyNumberFormat="1" applyFont="1" applyFill="1" applyBorder="1" applyAlignment="1" applyProtection="1">
      <alignment horizontal="right" vertical="center"/>
    </xf>
    <xf numFmtId="208" fontId="36" fillId="2" borderId="241" xfId="0" applyNumberFormat="1" applyFont="1" applyFill="1" applyBorder="1" applyAlignment="1" applyProtection="1">
      <alignment horizontal="right" vertical="center"/>
    </xf>
    <xf numFmtId="0" fontId="18" fillId="2" borderId="0" xfId="0" applyFont="1" applyFill="1" applyBorder="1" applyAlignment="1" applyProtection="1">
      <alignment horizontal="right" vertical="center"/>
    </xf>
    <xf numFmtId="0" fontId="18" fillId="2" borderId="273" xfId="0" applyFont="1" applyFill="1" applyBorder="1" applyAlignment="1" applyProtection="1">
      <alignment horizontal="center" vertical="center" shrinkToFit="1"/>
    </xf>
    <xf numFmtId="2" fontId="18" fillId="2" borderId="319" xfId="0" applyNumberFormat="1" applyFont="1" applyFill="1" applyBorder="1" applyAlignment="1" applyProtection="1">
      <alignment vertical="center"/>
    </xf>
    <xf numFmtId="2" fontId="18" fillId="12" borderId="274" xfId="0" applyNumberFormat="1" applyFont="1" applyFill="1" applyBorder="1" applyAlignment="1" applyProtection="1">
      <alignment horizontal="center" vertical="center"/>
    </xf>
    <xf numFmtId="0" fontId="18" fillId="2" borderId="317" xfId="0" applyFont="1" applyFill="1" applyBorder="1" applyAlignment="1" applyProtection="1">
      <alignment horizontal="center" vertical="center" shrinkToFit="1"/>
    </xf>
    <xf numFmtId="2" fontId="18" fillId="2" borderId="202" xfId="0" applyNumberFormat="1" applyFont="1" applyFill="1" applyBorder="1" applyAlignment="1" applyProtection="1">
      <alignment vertical="center"/>
    </xf>
    <xf numFmtId="2" fontId="18" fillId="2" borderId="139" xfId="0" applyNumberFormat="1" applyFont="1" applyFill="1" applyBorder="1" applyAlignment="1" applyProtection="1">
      <alignment horizontal="center" vertical="center"/>
    </xf>
    <xf numFmtId="2" fontId="18" fillId="2" borderId="172" xfId="0" applyNumberFormat="1" applyFont="1" applyFill="1" applyBorder="1" applyAlignment="1" applyProtection="1">
      <alignment horizontal="center" vertical="center"/>
    </xf>
    <xf numFmtId="0" fontId="18" fillId="2" borderId="194" xfId="0" applyFont="1" applyFill="1" applyBorder="1" applyAlignment="1" applyProtection="1">
      <alignment horizontal="center" vertical="center" shrinkToFit="1"/>
    </xf>
    <xf numFmtId="2" fontId="18" fillId="2" borderId="196" xfId="0" applyNumberFormat="1" applyFont="1" applyFill="1" applyBorder="1" applyAlignment="1" applyProtection="1">
      <alignment vertical="center"/>
    </xf>
    <xf numFmtId="2" fontId="18" fillId="2" borderId="133" xfId="0" applyNumberFormat="1" applyFont="1" applyFill="1" applyBorder="1" applyAlignment="1" applyProtection="1">
      <alignment horizontal="center" vertical="center"/>
    </xf>
    <xf numFmtId="0" fontId="18" fillId="2" borderId="96" xfId="0" applyFont="1" applyFill="1" applyBorder="1" applyAlignment="1" applyProtection="1">
      <alignment horizontal="center" vertical="center" shrinkToFit="1"/>
    </xf>
    <xf numFmtId="2" fontId="18" fillId="2" borderId="322" xfId="0" applyNumberFormat="1" applyFont="1" applyFill="1" applyBorder="1" applyAlignment="1" applyProtection="1">
      <alignment vertical="center"/>
    </xf>
    <xf numFmtId="2" fontId="18" fillId="2" borderId="87" xfId="0" applyNumberFormat="1" applyFont="1" applyFill="1" applyBorder="1" applyAlignment="1" applyProtection="1">
      <alignment horizontal="center" vertical="center"/>
    </xf>
    <xf numFmtId="2" fontId="18" fillId="2" borderId="323" xfId="0" applyNumberFormat="1" applyFont="1" applyFill="1" applyBorder="1" applyAlignment="1" applyProtection="1">
      <alignment horizontal="center" vertical="center"/>
    </xf>
    <xf numFmtId="0" fontId="18" fillId="2" borderId="95" xfId="0" applyFont="1" applyFill="1" applyBorder="1" applyAlignment="1" applyProtection="1">
      <alignment horizontal="center" vertical="center" shrinkToFit="1"/>
    </xf>
    <xf numFmtId="2" fontId="18" fillId="2" borderId="325" xfId="0" applyNumberFormat="1" applyFont="1" applyFill="1" applyBorder="1" applyAlignment="1" applyProtection="1">
      <alignment vertical="center"/>
    </xf>
    <xf numFmtId="2" fontId="18" fillId="2" borderId="63" xfId="0" applyNumberFormat="1" applyFont="1" applyFill="1" applyBorder="1" applyAlignment="1" applyProtection="1">
      <alignment horizontal="center" vertical="center"/>
    </xf>
    <xf numFmtId="2" fontId="18" fillId="2" borderId="326" xfId="0" applyNumberFormat="1" applyFont="1" applyFill="1" applyBorder="1" applyAlignment="1" applyProtection="1">
      <alignment horizontal="center" vertical="center"/>
    </xf>
    <xf numFmtId="2" fontId="18" fillId="12" borderId="323" xfId="0" applyNumberFormat="1" applyFont="1" applyFill="1" applyBorder="1" applyAlignment="1" applyProtection="1">
      <alignment horizontal="center" vertical="center"/>
    </xf>
    <xf numFmtId="2" fontId="18" fillId="12" borderId="324" xfId="0" applyNumberFormat="1" applyFont="1" applyFill="1" applyBorder="1" applyAlignment="1" applyProtection="1">
      <alignment horizontal="center" vertical="center"/>
    </xf>
    <xf numFmtId="207" fontId="9" fillId="2" borderId="226" xfId="1" applyNumberFormat="1" applyFont="1" applyFill="1" applyBorder="1" applyAlignment="1" applyProtection="1">
      <alignment horizontal="center" vertical="center" wrapText="1" shrinkToFit="1"/>
    </xf>
    <xf numFmtId="0" fontId="9" fillId="2" borderId="222" xfId="1" applyFont="1" applyFill="1" applyBorder="1" applyAlignment="1" applyProtection="1">
      <alignment vertical="center" shrinkToFit="1"/>
    </xf>
    <xf numFmtId="207" fontId="9" fillId="2" borderId="231" xfId="1" applyNumberFormat="1" applyFont="1" applyFill="1" applyBorder="1" applyAlignment="1" applyProtection="1">
      <alignment horizontal="center" vertical="center" wrapText="1" shrinkToFit="1"/>
    </xf>
    <xf numFmtId="40" fontId="9" fillId="2" borderId="217" xfId="4" applyNumberFormat="1" applyFont="1" applyFill="1" applyBorder="1" applyAlignment="1" applyProtection="1">
      <alignment horizontal="center" vertical="center" shrinkToFit="1"/>
    </xf>
    <xf numFmtId="0" fontId="18" fillId="2" borderId="134" xfId="0" applyFont="1" applyFill="1" applyBorder="1" applyAlignment="1" applyProtection="1">
      <alignment vertical="center"/>
    </xf>
    <xf numFmtId="0" fontId="18" fillId="2" borderId="133" xfId="0" applyFont="1" applyFill="1" applyBorder="1" applyAlignment="1" applyProtection="1">
      <alignment vertical="center"/>
    </xf>
    <xf numFmtId="182" fontId="18" fillId="2" borderId="133" xfId="0" applyNumberFormat="1" applyFont="1" applyFill="1" applyBorder="1" applyAlignment="1" applyProtection="1">
      <alignment vertical="center"/>
    </xf>
    <xf numFmtId="0" fontId="18" fillId="2" borderId="393" xfId="0" applyFont="1" applyFill="1" applyBorder="1" applyAlignment="1" applyProtection="1">
      <alignment vertical="center"/>
    </xf>
    <xf numFmtId="182" fontId="18" fillId="2" borderId="393" xfId="0" applyNumberFormat="1" applyFont="1" applyFill="1" applyBorder="1" applyAlignment="1" applyProtection="1">
      <alignment vertical="center"/>
    </xf>
    <xf numFmtId="208" fontId="9" fillId="2" borderId="3" xfId="1" applyNumberFormat="1" applyFont="1" applyFill="1" applyBorder="1" applyAlignment="1" applyProtection="1">
      <alignment horizontal="right" vertical="center" shrinkToFit="1"/>
    </xf>
    <xf numFmtId="208" fontId="36" fillId="2" borderId="3" xfId="4" applyNumberFormat="1" applyFont="1" applyFill="1" applyBorder="1" applyAlignment="1" applyProtection="1">
      <alignment horizontal="right" vertical="center" shrinkToFit="1"/>
    </xf>
    <xf numFmtId="209" fontId="18" fillId="2" borderId="13" xfId="0" applyNumberFormat="1" applyFont="1" applyFill="1" applyBorder="1" applyAlignment="1" applyProtection="1">
      <alignment horizontal="right" vertical="center" shrinkToFit="1"/>
    </xf>
    <xf numFmtId="209" fontId="18" fillId="2" borderId="3" xfId="0" applyNumberFormat="1" applyFont="1" applyFill="1" applyBorder="1" applyAlignment="1" applyProtection="1">
      <alignment horizontal="right" vertical="center" shrinkToFit="1"/>
    </xf>
    <xf numFmtId="208" fontId="18" fillId="2" borderId="3" xfId="0" applyNumberFormat="1" applyFont="1" applyFill="1" applyBorder="1" applyAlignment="1" applyProtection="1">
      <alignment horizontal="right" vertical="center" shrinkToFit="1"/>
    </xf>
    <xf numFmtId="0" fontId="24" fillId="2" borderId="0" xfId="0" applyFont="1" applyFill="1" applyProtection="1">
      <alignment vertical="center"/>
    </xf>
    <xf numFmtId="0" fontId="33" fillId="2" borderId="0" xfId="0" applyFont="1" applyFill="1" applyProtection="1">
      <alignment vertical="center"/>
    </xf>
    <xf numFmtId="0" fontId="24" fillId="2" borderId="17" xfId="0" applyFont="1" applyFill="1" applyBorder="1" applyProtection="1">
      <alignment vertical="center"/>
    </xf>
    <xf numFmtId="0" fontId="37" fillId="2" borderId="0" xfId="0" applyFont="1" applyFill="1" applyAlignment="1" applyProtection="1">
      <alignment vertical="center"/>
    </xf>
    <xf numFmtId="0" fontId="24" fillId="2" borderId="0" xfId="0" applyFont="1" applyFill="1" applyAlignment="1" applyProtection="1">
      <alignment vertical="center"/>
    </xf>
    <xf numFmtId="0" fontId="38" fillId="2" borderId="0" xfId="0" applyFont="1" applyFill="1" applyAlignment="1" applyProtection="1">
      <alignment vertical="center"/>
    </xf>
    <xf numFmtId="0" fontId="38" fillId="2" borderId="0" xfId="0" applyFont="1" applyFill="1" applyProtection="1">
      <alignment vertical="center"/>
    </xf>
    <xf numFmtId="0" fontId="24" fillId="2" borderId="67" xfId="0" applyFont="1" applyFill="1" applyBorder="1" applyAlignment="1" applyProtection="1">
      <alignment horizontal="center" vertical="center" shrinkToFit="1"/>
    </xf>
    <xf numFmtId="0" fontId="24" fillId="2" borderId="14" xfId="0" applyFont="1" applyFill="1" applyBorder="1" applyAlignment="1" applyProtection="1">
      <alignment vertical="top" textRotation="255" shrinkToFit="1"/>
    </xf>
    <xf numFmtId="0" fontId="24" fillId="2" borderId="48" xfId="0" applyFont="1" applyFill="1" applyBorder="1" applyAlignment="1" applyProtection="1">
      <alignment vertical="top" textRotation="255" shrinkToFit="1"/>
    </xf>
    <xf numFmtId="0" fontId="24" fillId="2" borderId="71" xfId="0" applyFont="1" applyFill="1" applyBorder="1" applyAlignment="1" applyProtection="1">
      <alignment vertical="top" textRotation="255" shrinkToFit="1"/>
    </xf>
    <xf numFmtId="0" fontId="24" fillId="2" borderId="71" xfId="0" applyFont="1" applyFill="1" applyBorder="1" applyAlignment="1" applyProtection="1">
      <alignment vertical="center" textRotation="255" shrinkToFit="1"/>
    </xf>
    <xf numFmtId="0" fontId="24" fillId="2" borderId="26" xfId="0" applyFont="1" applyFill="1" applyBorder="1" applyAlignment="1" applyProtection="1">
      <alignment vertical="center" textRotation="255" shrinkToFit="1"/>
    </xf>
    <xf numFmtId="0" fontId="24" fillId="2" borderId="73" xfId="0" applyFont="1" applyFill="1" applyBorder="1" applyAlignment="1" applyProtection="1">
      <alignment vertical="center" textRotation="255" shrinkToFit="1"/>
    </xf>
    <xf numFmtId="0" fontId="24" fillId="2" borderId="71" xfId="0" applyFont="1" applyFill="1" applyBorder="1" applyAlignment="1" applyProtection="1">
      <alignment horizontal="center" vertical="center" textRotation="255" shrinkToFit="1"/>
    </xf>
    <xf numFmtId="0" fontId="24" fillId="2" borderId="71" xfId="0" applyFont="1" applyFill="1" applyBorder="1" applyAlignment="1" applyProtection="1">
      <alignment vertical="center" textRotation="255" wrapText="1" shrinkToFit="1"/>
    </xf>
    <xf numFmtId="0" fontId="24" fillId="2" borderId="97" xfId="0" applyFont="1" applyFill="1" applyBorder="1" applyAlignment="1" applyProtection="1">
      <alignment vertical="center" textRotation="255" wrapText="1" shrinkToFit="1"/>
    </xf>
    <xf numFmtId="0" fontId="24" fillId="2" borderId="169" xfId="0" applyFont="1" applyFill="1" applyBorder="1" applyAlignment="1" applyProtection="1">
      <alignment horizontal="center" vertical="center"/>
    </xf>
    <xf numFmtId="0" fontId="24" fillId="2" borderId="170" xfId="0" applyFont="1" applyFill="1" applyBorder="1" applyAlignment="1" applyProtection="1">
      <alignment horizontal="center" vertical="center"/>
    </xf>
    <xf numFmtId="0" fontId="24" fillId="2" borderId="171" xfId="0" applyFont="1" applyFill="1" applyBorder="1" applyAlignment="1" applyProtection="1">
      <alignment horizontal="center" vertical="center"/>
    </xf>
    <xf numFmtId="0" fontId="34" fillId="2" borderId="2" xfId="3" applyFont="1" applyFill="1" applyBorder="1" applyAlignment="1" applyProtection="1">
      <alignment horizontal="center" vertical="center" shrinkToFit="1"/>
    </xf>
    <xf numFmtId="0" fontId="34" fillId="2" borderId="8" xfId="3" applyFont="1" applyFill="1" applyBorder="1" applyAlignment="1" applyProtection="1">
      <alignment horizontal="center" vertical="center" shrinkToFit="1"/>
    </xf>
    <xf numFmtId="4" fontId="21" fillId="2" borderId="165" xfId="2" applyNumberFormat="1" applyFont="1" applyFill="1" applyBorder="1" applyAlignment="1" applyProtection="1">
      <alignment horizontal="right" vertical="center" shrinkToFit="1"/>
    </xf>
    <xf numFmtId="4" fontId="21" fillId="2" borderId="149" xfId="2" applyNumberFormat="1" applyFont="1" applyFill="1" applyBorder="1" applyAlignment="1" applyProtection="1">
      <alignment horizontal="right" vertical="center" shrinkToFit="1"/>
    </xf>
    <xf numFmtId="4" fontId="21" fillId="2" borderId="151" xfId="2" applyNumberFormat="1" applyFont="1" applyFill="1" applyBorder="1" applyAlignment="1" applyProtection="1">
      <alignment horizontal="right" vertical="center" shrinkToFit="1"/>
    </xf>
    <xf numFmtId="195" fontId="4" fillId="2" borderId="23" xfId="3" applyNumberFormat="1" applyFont="1" applyFill="1" applyBorder="1" applyAlignment="1" applyProtection="1">
      <alignment shrinkToFit="1"/>
    </xf>
    <xf numFmtId="0" fontId="4" fillId="2" borderId="0" xfId="3" applyFont="1" applyFill="1" applyAlignment="1" applyProtection="1">
      <alignment vertical="top" textRotation="180" shrinkToFit="1"/>
    </xf>
    <xf numFmtId="0" fontId="4" fillId="2" borderId="161" xfId="3" applyFont="1" applyFill="1" applyBorder="1" applyAlignment="1" applyProtection="1">
      <alignment horizontal="center" vertical="center" shrinkToFit="1"/>
    </xf>
    <xf numFmtId="0" fontId="4" fillId="2" borderId="166" xfId="3" applyFont="1" applyFill="1" applyBorder="1" applyAlignment="1" applyProtection="1">
      <alignment horizontal="center" vertical="center" shrinkToFit="1"/>
    </xf>
    <xf numFmtId="0" fontId="4" fillId="2" borderId="167" xfId="3" applyFont="1" applyFill="1" applyBorder="1" applyAlignment="1" applyProtection="1">
      <alignment horizontal="center" vertical="center" shrinkToFit="1"/>
    </xf>
    <xf numFmtId="0" fontId="25" fillId="2" borderId="0" xfId="3" applyFont="1" applyFill="1" applyAlignment="1" applyProtection="1">
      <alignment vertical="center"/>
    </xf>
    <xf numFmtId="0" fontId="9" fillId="2" borderId="0" xfId="3" applyFont="1" applyFill="1" applyAlignment="1" applyProtection="1">
      <alignment vertical="center"/>
    </xf>
    <xf numFmtId="0" fontId="51" fillId="2" borderId="0" xfId="3" applyFont="1" applyFill="1" applyAlignment="1" applyProtection="1">
      <alignment vertical="center"/>
    </xf>
    <xf numFmtId="0" fontId="9" fillId="2" borderId="1" xfId="3" applyFont="1" applyFill="1" applyBorder="1" applyAlignment="1" applyProtection="1">
      <alignment horizontal="center" vertical="center" wrapText="1"/>
    </xf>
    <xf numFmtId="0" fontId="9" fillId="2" borderId="0" xfId="3" applyNumberFormat="1" applyFont="1" applyFill="1" applyBorder="1" applyAlignment="1" applyProtection="1">
      <alignment horizontal="right" vertical="center"/>
    </xf>
    <xf numFmtId="0" fontId="51" fillId="2" borderId="0" xfId="3" applyFont="1" applyFill="1" applyBorder="1" applyAlignment="1" applyProtection="1">
      <alignment vertical="center"/>
    </xf>
    <xf numFmtId="0" fontId="40" fillId="2" borderId="0" xfId="0" applyFont="1" applyFill="1" applyBorder="1" applyAlignment="1" applyProtection="1">
      <alignment horizontal="right" vertical="center"/>
    </xf>
    <xf numFmtId="0" fontId="49" fillId="2" borderId="0" xfId="3" applyFont="1" applyFill="1" applyBorder="1" applyAlignment="1" applyProtection="1">
      <alignment horizontal="right" vertical="center" shrinkToFit="1"/>
    </xf>
    <xf numFmtId="2" fontId="49" fillId="2" borderId="0" xfId="3" applyNumberFormat="1" applyFont="1" applyFill="1" applyBorder="1" applyAlignment="1" applyProtection="1">
      <alignment vertical="center"/>
    </xf>
    <xf numFmtId="2" fontId="49" fillId="2" borderId="0" xfId="3" applyNumberFormat="1" applyFont="1" applyFill="1" applyBorder="1" applyAlignment="1" applyProtection="1">
      <alignment horizontal="center" vertical="center"/>
    </xf>
    <xf numFmtId="0" fontId="9" fillId="2" borderId="299" xfId="3" applyNumberFormat="1" applyFont="1" applyFill="1" applyBorder="1" applyAlignment="1" applyProtection="1">
      <alignment horizontal="center" vertical="center" shrinkToFit="1"/>
    </xf>
    <xf numFmtId="0" fontId="9" fillId="2" borderId="300" xfId="3" applyNumberFormat="1" applyFont="1" applyFill="1" applyBorder="1" applyAlignment="1" applyProtection="1">
      <alignment horizontal="center" vertical="center" shrinkToFit="1"/>
    </xf>
    <xf numFmtId="0" fontId="9" fillId="2" borderId="301" xfId="3" applyNumberFormat="1" applyFont="1" applyFill="1" applyBorder="1" applyAlignment="1" applyProtection="1">
      <alignment horizontal="center" vertical="center" shrinkToFit="1"/>
    </xf>
    <xf numFmtId="0" fontId="9" fillId="2" borderId="0" xfId="0" applyFont="1" applyFill="1" applyAlignment="1" applyProtection="1">
      <alignment vertical="center"/>
    </xf>
    <xf numFmtId="211" fontId="9" fillId="2" borderId="163" xfId="3" applyNumberFormat="1" applyFont="1" applyFill="1" applyBorder="1" applyAlignment="1" applyProtection="1">
      <alignment horizontal="right" vertical="center" shrinkToFit="1"/>
    </xf>
    <xf numFmtId="211" fontId="9" fillId="2" borderId="159" xfId="3" applyNumberFormat="1" applyFont="1" applyFill="1" applyBorder="1" applyAlignment="1" applyProtection="1">
      <alignment horizontal="right" vertical="center" shrinkToFit="1"/>
    </xf>
    <xf numFmtId="211" fontId="9" fillId="2" borderId="280" xfId="3" applyNumberFormat="1" applyFont="1" applyFill="1" applyBorder="1" applyAlignment="1" applyProtection="1">
      <alignment horizontal="right" vertical="center" shrinkToFit="1"/>
    </xf>
    <xf numFmtId="0" fontId="55" fillId="2" borderId="0" xfId="0" applyFont="1" applyFill="1" applyProtection="1">
      <alignment vertical="center"/>
    </xf>
    <xf numFmtId="0" fontId="9" fillId="2" borderId="0" xfId="3" applyFont="1" applyFill="1" applyBorder="1" applyAlignment="1" applyProtection="1">
      <alignment horizontal="center" vertical="center"/>
    </xf>
    <xf numFmtId="0" fontId="25" fillId="2" borderId="0" xfId="3" applyFont="1" applyFill="1" applyBorder="1" applyAlignment="1" applyProtection="1">
      <alignment horizontal="center" vertical="center" shrinkToFit="1"/>
    </xf>
    <xf numFmtId="0" fontId="9" fillId="2" borderId="34" xfId="0" applyFont="1" applyFill="1" applyBorder="1" applyAlignment="1" applyProtection="1">
      <alignment vertical="center"/>
    </xf>
    <xf numFmtId="0" fontId="9" fillId="2" borderId="0" xfId="0" applyFont="1" applyFill="1" applyBorder="1" applyAlignment="1" applyProtection="1">
      <alignment vertical="center"/>
    </xf>
    <xf numFmtId="0" fontId="25" fillId="2" borderId="0" xfId="0" applyFont="1" applyFill="1" applyBorder="1" applyAlignment="1" applyProtection="1">
      <alignment vertical="center"/>
    </xf>
    <xf numFmtId="0" fontId="9" fillId="2" borderId="32" xfId="0" applyFont="1" applyFill="1" applyBorder="1" applyAlignment="1" applyProtection="1">
      <alignment vertical="center" shrinkToFit="1"/>
    </xf>
    <xf numFmtId="0" fontId="9" fillId="2" borderId="32" xfId="0" applyFont="1" applyFill="1" applyBorder="1" applyAlignment="1" applyProtection="1">
      <alignment vertical="center"/>
    </xf>
    <xf numFmtId="0" fontId="28" fillId="2" borderId="0" xfId="0" applyFont="1" applyFill="1" applyBorder="1" applyAlignment="1" applyProtection="1">
      <alignment vertical="center" shrinkToFit="1"/>
    </xf>
    <xf numFmtId="0" fontId="9" fillId="2" borderId="19" xfId="0" applyFont="1" applyFill="1" applyBorder="1" applyAlignment="1" applyProtection="1">
      <alignment vertical="center" shrinkToFit="1"/>
    </xf>
    <xf numFmtId="0" fontId="9" fillId="2" borderId="9" xfId="0" applyFont="1" applyFill="1" applyBorder="1" applyAlignment="1" applyProtection="1">
      <alignment vertical="center" shrinkToFit="1"/>
    </xf>
    <xf numFmtId="0" fontId="9" fillId="2" borderId="48" xfId="0" applyFont="1" applyFill="1" applyBorder="1" applyAlignment="1" applyProtection="1">
      <alignment vertical="center" shrinkToFit="1"/>
    </xf>
    <xf numFmtId="0" fontId="9" fillId="2" borderId="12" xfId="0" applyFont="1" applyFill="1" applyBorder="1" applyAlignment="1" applyProtection="1">
      <alignment vertical="center"/>
    </xf>
    <xf numFmtId="0" fontId="11" fillId="2" borderId="65" xfId="0" applyFont="1" applyFill="1" applyBorder="1" applyAlignment="1" applyProtection="1">
      <alignment vertical="center" shrinkToFit="1"/>
    </xf>
    <xf numFmtId="0" fontId="9" fillId="2" borderId="65" xfId="0" applyFont="1" applyFill="1" applyBorder="1" applyAlignment="1" applyProtection="1">
      <alignment vertical="center" shrinkToFit="1"/>
    </xf>
    <xf numFmtId="0" fontId="27" fillId="2" borderId="77" xfId="0" applyFont="1" applyFill="1" applyBorder="1" applyAlignment="1" applyProtection="1">
      <alignment vertical="center"/>
    </xf>
    <xf numFmtId="0" fontId="9" fillId="2" borderId="65" xfId="0" applyFont="1" applyFill="1" applyBorder="1" applyAlignment="1" applyProtection="1">
      <alignment vertical="center"/>
    </xf>
    <xf numFmtId="0" fontId="9" fillId="2" borderId="77" xfId="0" applyFont="1" applyFill="1" applyBorder="1" applyAlignment="1" applyProtection="1">
      <alignment vertical="center"/>
    </xf>
    <xf numFmtId="0" fontId="9" fillId="2" borderId="30" xfId="0" applyFont="1" applyFill="1" applyBorder="1" applyAlignment="1" applyProtection="1">
      <alignment horizontal="center" vertical="center" shrinkToFit="1"/>
    </xf>
    <xf numFmtId="0" fontId="9" fillId="2" borderId="14" xfId="0" applyFont="1" applyFill="1" applyBorder="1" applyAlignment="1" applyProtection="1">
      <alignment vertical="center"/>
    </xf>
    <xf numFmtId="0" fontId="9" fillId="2" borderId="44" xfId="0" applyFont="1" applyFill="1" applyBorder="1" applyAlignment="1" applyProtection="1">
      <alignment vertical="center"/>
    </xf>
    <xf numFmtId="0" fontId="27" fillId="2" borderId="65" xfId="0" applyFont="1" applyFill="1" applyBorder="1" applyAlignment="1" applyProtection="1">
      <alignment vertical="center"/>
    </xf>
    <xf numFmtId="0" fontId="9" fillId="2" borderId="37" xfId="0" applyFont="1" applyFill="1" applyBorder="1" applyAlignment="1" applyProtection="1">
      <alignment vertical="center"/>
    </xf>
    <xf numFmtId="0" fontId="9" fillId="2" borderId="56" xfId="0" applyFont="1" applyFill="1" applyBorder="1" applyAlignment="1" applyProtection="1">
      <alignment horizontal="center" vertical="center" shrinkToFit="1"/>
    </xf>
    <xf numFmtId="0" fontId="9" fillId="2" borderId="56" xfId="0" applyFont="1" applyFill="1" applyBorder="1" applyAlignment="1" applyProtection="1">
      <alignment horizontal="center" vertical="center"/>
    </xf>
    <xf numFmtId="0" fontId="18" fillId="2" borderId="16" xfId="0" applyFont="1" applyFill="1" applyBorder="1" applyAlignment="1" applyProtection="1">
      <alignment horizontal="center" vertical="center" wrapText="1"/>
    </xf>
    <xf numFmtId="0" fontId="24" fillId="2" borderId="20" xfId="0" applyFont="1" applyFill="1" applyBorder="1" applyAlignment="1" applyProtection="1">
      <alignment vertical="center"/>
    </xf>
    <xf numFmtId="0" fontId="24" fillId="2" borderId="0" xfId="0" applyFont="1" applyFill="1" applyBorder="1" applyAlignment="1" applyProtection="1">
      <alignment vertical="center"/>
    </xf>
    <xf numFmtId="0" fontId="18" fillId="2" borderId="217" xfId="0" applyFont="1" applyFill="1" applyBorder="1" applyAlignment="1" applyProtection="1">
      <alignment horizontal="left" vertical="center" wrapText="1"/>
    </xf>
    <xf numFmtId="0" fontId="18" fillId="2" borderId="239" xfId="0" applyFont="1" applyFill="1" applyBorder="1" applyAlignment="1" applyProtection="1">
      <alignment horizontal="left" vertical="center" wrapText="1"/>
    </xf>
    <xf numFmtId="0" fontId="18" fillId="2" borderId="349" xfId="0" applyFont="1" applyFill="1" applyBorder="1" applyAlignment="1" applyProtection="1">
      <alignment vertical="center" wrapText="1"/>
    </xf>
    <xf numFmtId="0" fontId="9" fillId="2" borderId="20" xfId="0" applyFont="1" applyFill="1" applyBorder="1" applyAlignment="1" applyProtection="1">
      <alignment vertical="center" wrapText="1"/>
    </xf>
    <xf numFmtId="0" fontId="9" fillId="2" borderId="0" xfId="0" applyFont="1" applyFill="1" applyBorder="1" applyAlignment="1" applyProtection="1">
      <alignment vertical="center" wrapText="1"/>
    </xf>
    <xf numFmtId="0" fontId="9" fillId="2" borderId="62" xfId="0" applyFont="1" applyFill="1" applyBorder="1" applyAlignment="1" applyProtection="1">
      <alignment vertical="center"/>
    </xf>
    <xf numFmtId="0" fontId="30" fillId="2" borderId="0" xfId="0" applyFont="1" applyFill="1" applyBorder="1" applyAlignment="1" applyProtection="1">
      <alignment vertical="center"/>
    </xf>
    <xf numFmtId="0" fontId="9" fillId="2" borderId="20" xfId="0" applyFont="1" applyFill="1" applyBorder="1" applyAlignment="1" applyProtection="1">
      <alignment horizontal="left" vertical="center"/>
    </xf>
    <xf numFmtId="0" fontId="9" fillId="2" borderId="89" xfId="0" applyFont="1" applyFill="1" applyBorder="1" applyAlignment="1" applyProtection="1">
      <alignment vertical="center"/>
    </xf>
    <xf numFmtId="0" fontId="18" fillId="2" borderId="90" xfId="0" applyFont="1" applyFill="1" applyBorder="1" applyAlignment="1" applyProtection="1">
      <alignment horizontal="left" vertical="center"/>
    </xf>
    <xf numFmtId="0" fontId="18" fillId="2" borderId="94" xfId="0" applyFont="1" applyFill="1" applyBorder="1" applyAlignment="1" applyProtection="1">
      <alignment horizontal="left" vertical="center"/>
    </xf>
    <xf numFmtId="0" fontId="9" fillId="2" borderId="20" xfId="0" applyFont="1" applyFill="1" applyBorder="1" applyAlignment="1" applyProtection="1">
      <alignment vertical="center"/>
    </xf>
    <xf numFmtId="0" fontId="9" fillId="2" borderId="19" xfId="0" applyFont="1" applyFill="1" applyBorder="1" applyAlignment="1" applyProtection="1">
      <alignment vertical="center"/>
    </xf>
    <xf numFmtId="0" fontId="18" fillId="2" borderId="9" xfId="0" applyFont="1" applyFill="1" applyBorder="1" applyAlignment="1" applyProtection="1">
      <alignment horizontal="left" vertical="center"/>
    </xf>
    <xf numFmtId="0" fontId="18" fillId="2" borderId="429" xfId="0" applyFont="1" applyFill="1" applyBorder="1" applyAlignment="1" applyProtection="1">
      <alignment horizontal="center" vertical="center" shrinkToFit="1"/>
    </xf>
    <xf numFmtId="0" fontId="18" fillId="2" borderId="430" xfId="0" applyFont="1" applyFill="1" applyBorder="1" applyAlignment="1" applyProtection="1">
      <alignment horizontal="center" vertical="center" shrinkToFit="1"/>
    </xf>
    <xf numFmtId="0" fontId="18" fillId="2" borderId="189" xfId="0" applyFont="1" applyFill="1" applyBorder="1" applyAlignment="1" applyProtection="1">
      <alignment horizontal="center" vertical="center" shrinkToFit="1"/>
    </xf>
    <xf numFmtId="0" fontId="18" fillId="2" borderId="431" xfId="0" applyFont="1" applyFill="1" applyBorder="1" applyAlignment="1" applyProtection="1">
      <alignment horizontal="center" vertical="center" shrinkToFit="1"/>
    </xf>
    <xf numFmtId="0" fontId="18" fillId="2" borderId="432" xfId="0" applyFont="1" applyFill="1" applyBorder="1" applyAlignment="1" applyProtection="1">
      <alignment horizontal="center" vertical="center" shrinkToFit="1"/>
    </xf>
    <xf numFmtId="0" fontId="19" fillId="0" borderId="403" xfId="0" applyFont="1" applyFill="1" applyBorder="1" applyAlignment="1" applyProtection="1">
      <alignment vertical="center" shrinkToFit="1"/>
    </xf>
    <xf numFmtId="0" fontId="19" fillId="0" borderId="237" xfId="0" applyFont="1" applyFill="1" applyBorder="1" applyAlignment="1" applyProtection="1">
      <alignment vertical="center" shrinkToFit="1"/>
    </xf>
    <xf numFmtId="0" fontId="9" fillId="2" borderId="162" xfId="3" applyFont="1" applyFill="1" applyBorder="1" applyAlignment="1" applyProtection="1">
      <alignment vertical="center" shrinkToFit="1"/>
    </xf>
    <xf numFmtId="0" fontId="40" fillId="2" borderId="299" xfId="0" applyFont="1" applyFill="1" applyBorder="1" applyAlignment="1" applyProtection="1">
      <alignment vertical="center"/>
    </xf>
    <xf numFmtId="0" fontId="40" fillId="2" borderId="287" xfId="0" applyFont="1" applyFill="1" applyBorder="1" applyAlignment="1" applyProtection="1">
      <alignment vertical="center"/>
    </xf>
    <xf numFmtId="2" fontId="49" fillId="2" borderId="163" xfId="3" applyNumberFormat="1" applyFont="1" applyFill="1" applyBorder="1" applyAlignment="1" applyProtection="1">
      <alignment vertical="center"/>
    </xf>
    <xf numFmtId="0" fontId="9" fillId="2" borderId="157" xfId="3" applyFont="1" applyFill="1" applyBorder="1" applyAlignment="1" applyProtection="1">
      <alignment vertical="center" shrinkToFit="1"/>
    </xf>
    <xf numFmtId="0" fontId="40" fillId="2" borderId="300" xfId="0" applyFont="1" applyFill="1" applyBorder="1" applyAlignment="1" applyProtection="1">
      <alignment vertical="center"/>
    </xf>
    <xf numFmtId="0" fontId="40" fillId="2" borderId="225" xfId="0" applyFont="1" applyFill="1" applyBorder="1" applyAlignment="1" applyProtection="1">
      <alignment vertical="center"/>
    </xf>
    <xf numFmtId="2" fontId="49" fillId="2" borderId="159" xfId="3" applyNumberFormat="1" applyFont="1" applyFill="1" applyBorder="1" applyAlignment="1" applyProtection="1">
      <alignment vertical="center"/>
    </xf>
    <xf numFmtId="0" fontId="9" fillId="2" borderId="277" xfId="3" applyFont="1" applyFill="1" applyBorder="1" applyAlignment="1" applyProtection="1">
      <alignment vertical="center" shrinkToFit="1"/>
    </xf>
    <xf numFmtId="0" fontId="40" fillId="2" borderId="301" xfId="0" applyFont="1" applyFill="1" applyBorder="1" applyAlignment="1" applyProtection="1">
      <alignment vertical="center"/>
    </xf>
    <xf numFmtId="0" fontId="40" fillId="2" borderId="279" xfId="0" applyFont="1" applyFill="1" applyBorder="1" applyAlignment="1" applyProtection="1">
      <alignment vertical="center"/>
    </xf>
    <xf numFmtId="2" fontId="49" fillId="2" borderId="280" xfId="3" applyNumberFormat="1" applyFont="1" applyFill="1" applyBorder="1" applyAlignment="1" applyProtection="1">
      <alignment vertical="center"/>
    </xf>
    <xf numFmtId="0" fontId="9" fillId="3" borderId="440" xfId="3" applyFont="1" applyFill="1" applyBorder="1" applyAlignment="1" applyProtection="1">
      <alignment horizontal="center" vertical="center"/>
    </xf>
    <xf numFmtId="0" fontId="18" fillId="2" borderId="369" xfId="0" applyFont="1" applyFill="1" applyBorder="1" applyAlignment="1" applyProtection="1">
      <alignment horizontal="center" vertical="center" shrinkToFit="1"/>
    </xf>
    <xf numFmtId="0" fontId="18" fillId="2" borderId="365" xfId="0" applyFont="1" applyFill="1" applyBorder="1" applyAlignment="1" applyProtection="1">
      <alignment horizontal="center" vertical="center" shrinkToFit="1"/>
    </xf>
    <xf numFmtId="195" fontId="18" fillId="2" borderId="224" xfId="0" applyNumberFormat="1" applyFont="1" applyFill="1" applyBorder="1" applyAlignment="1" applyProtection="1">
      <alignment horizontal="right" vertical="center" shrinkToFit="1"/>
    </xf>
    <xf numFmtId="195" fontId="18" fillId="2" borderId="117" xfId="4" applyNumberFormat="1" applyFont="1" applyFill="1" applyBorder="1" applyAlignment="1" applyProtection="1">
      <alignment horizontal="right" vertical="center" shrinkToFit="1"/>
    </xf>
    <xf numFmtId="195" fontId="9" fillId="2" borderId="189" xfId="1" applyNumberFormat="1" applyFont="1" applyFill="1" applyBorder="1" applyAlignment="1" applyProtection="1">
      <alignment horizontal="right" vertical="center" shrinkToFit="1"/>
    </xf>
    <xf numFmtId="195" fontId="9" fillId="2" borderId="224" xfId="1" applyNumberFormat="1" applyFont="1" applyFill="1" applyBorder="1" applyAlignment="1" applyProtection="1">
      <alignment horizontal="right" vertical="center" shrinkToFit="1"/>
    </xf>
    <xf numFmtId="195" fontId="9" fillId="2" borderId="229" xfId="1" applyNumberFormat="1" applyFont="1" applyFill="1" applyBorder="1" applyAlignment="1" applyProtection="1">
      <alignment horizontal="right" vertical="center" shrinkToFit="1"/>
    </xf>
    <xf numFmtId="195" fontId="18" fillId="2" borderId="117" xfId="0" applyNumberFormat="1" applyFont="1" applyFill="1" applyBorder="1" applyAlignment="1" applyProtection="1">
      <alignment horizontal="right" vertical="center" shrinkToFit="1"/>
    </xf>
    <xf numFmtId="0" fontId="18" fillId="3" borderId="2" xfId="0" applyFont="1" applyFill="1" applyBorder="1" applyAlignment="1" applyProtection="1">
      <alignment horizontal="center" vertical="center" shrinkToFit="1"/>
    </xf>
    <xf numFmtId="0" fontId="18" fillId="2" borderId="281" xfId="0" applyFont="1" applyFill="1" applyBorder="1" applyAlignment="1" applyProtection="1">
      <alignment horizontal="center" vertical="center" shrinkToFit="1"/>
    </xf>
    <xf numFmtId="0" fontId="18" fillId="2" borderId="148" xfId="0" applyFont="1" applyFill="1" applyBorder="1" applyAlignment="1" applyProtection="1">
      <alignment horizontal="center" vertical="center" shrinkToFit="1"/>
    </xf>
    <xf numFmtId="0" fontId="18" fillId="2" borderId="155" xfId="0" applyFont="1" applyFill="1" applyBorder="1" applyAlignment="1" applyProtection="1">
      <alignment horizontal="center" vertical="center" shrinkToFit="1"/>
    </xf>
    <xf numFmtId="0" fontId="18" fillId="2" borderId="164" xfId="0" applyFont="1" applyFill="1" applyBorder="1" applyAlignment="1" applyProtection="1">
      <alignment horizontal="center" vertical="center" shrinkToFit="1"/>
    </xf>
    <xf numFmtId="0" fontId="9" fillId="2" borderId="244" xfId="0" applyFont="1" applyFill="1" applyBorder="1" applyAlignment="1" applyProtection="1">
      <alignment vertical="center" shrinkToFit="1"/>
    </xf>
    <xf numFmtId="0" fontId="9" fillId="2" borderId="447" xfId="0" applyFont="1" applyFill="1" applyBorder="1" applyAlignment="1" applyProtection="1">
      <alignment vertical="center" shrinkToFit="1"/>
    </xf>
    <xf numFmtId="0" fontId="9" fillId="2" borderId="130" xfId="0" applyFont="1" applyFill="1" applyBorder="1" applyAlignment="1" applyProtection="1">
      <alignment vertical="center" shrinkToFit="1"/>
    </xf>
    <xf numFmtId="0" fontId="9" fillId="2" borderId="132" xfId="0" applyFont="1" applyFill="1" applyBorder="1" applyAlignment="1" applyProtection="1">
      <alignment vertical="center" shrinkToFit="1"/>
    </xf>
    <xf numFmtId="0" fontId="19" fillId="0" borderId="21" xfId="0" applyFont="1" applyBorder="1" applyAlignment="1" applyProtection="1">
      <alignment horizontal="right" vertical="center" shrinkToFit="1"/>
    </xf>
    <xf numFmtId="0" fontId="9" fillId="0" borderId="43" xfId="0" applyFont="1" applyBorder="1" applyAlignment="1" applyProtection="1">
      <alignment horizontal="right" vertical="center" shrinkToFit="1"/>
    </xf>
    <xf numFmtId="0" fontId="18" fillId="0" borderId="65" xfId="0" applyFont="1" applyBorder="1" applyAlignment="1" applyProtection="1">
      <alignment vertical="center"/>
    </xf>
    <xf numFmtId="0" fontId="18" fillId="0" borderId="448" xfId="0" applyFont="1" applyBorder="1" applyAlignment="1" applyProtection="1">
      <alignment vertical="center" shrinkToFit="1"/>
    </xf>
    <xf numFmtId="0" fontId="18" fillId="0" borderId="20" xfId="0" applyFont="1" applyBorder="1" applyAlignment="1" applyProtection="1">
      <alignment vertical="center" shrinkToFit="1"/>
    </xf>
    <xf numFmtId="0" fontId="18" fillId="0" borderId="98" xfId="0" applyFont="1" applyBorder="1" applyAlignment="1" applyProtection="1">
      <alignment vertical="center" shrinkToFit="1"/>
    </xf>
    <xf numFmtId="0" fontId="18" fillId="0" borderId="25" xfId="0" applyFont="1" applyBorder="1" applyAlignment="1" applyProtection="1">
      <alignment vertical="center" shrinkToFit="1"/>
    </xf>
    <xf numFmtId="0" fontId="18" fillId="0" borderId="236" xfId="0" applyFont="1" applyBorder="1" applyAlignment="1" applyProtection="1">
      <alignment vertical="center" shrinkToFit="1"/>
    </xf>
    <xf numFmtId="0" fontId="18" fillId="0" borderId="91" xfId="0" applyFont="1" applyBorder="1" applyAlignment="1" applyProtection="1">
      <alignment vertical="center" shrinkToFit="1"/>
    </xf>
    <xf numFmtId="0" fontId="18" fillId="0" borderId="36" xfId="0" applyFont="1" applyBorder="1" applyAlignment="1" applyProtection="1">
      <alignment vertical="center"/>
    </xf>
    <xf numFmtId="0" fontId="18" fillId="0" borderId="37" xfId="0" applyFont="1" applyBorder="1" applyAlignment="1" applyProtection="1">
      <alignment vertical="center"/>
    </xf>
    <xf numFmtId="0" fontId="9" fillId="3" borderId="291" xfId="1" applyFont="1" applyFill="1" applyBorder="1" applyAlignment="1" applyProtection="1">
      <alignment horizontal="center" vertical="center" wrapText="1" shrinkToFit="1"/>
    </xf>
    <xf numFmtId="0" fontId="9" fillId="3" borderId="183" xfId="1" applyFont="1" applyFill="1" applyBorder="1" applyAlignment="1" applyProtection="1">
      <alignment horizontal="center" vertical="center" wrapText="1" shrinkToFit="1"/>
    </xf>
    <xf numFmtId="0" fontId="9" fillId="3" borderId="184" xfId="1" applyFont="1" applyFill="1" applyBorder="1" applyAlignment="1" applyProtection="1">
      <alignment horizontal="center" vertical="center" wrapText="1" shrinkToFit="1"/>
    </xf>
    <xf numFmtId="0" fontId="36" fillId="2" borderId="426" xfId="0" applyFont="1" applyFill="1" applyBorder="1" applyAlignment="1" applyProtection="1">
      <alignment horizontal="center" vertical="center" shrinkToFit="1"/>
    </xf>
    <xf numFmtId="0" fontId="36" fillId="2" borderId="336" xfId="0" applyFont="1" applyFill="1" applyBorder="1" applyAlignment="1" applyProtection="1">
      <alignment horizontal="center" vertical="center" shrinkToFit="1"/>
    </xf>
    <xf numFmtId="0" fontId="36" fillId="2" borderId="451" xfId="0" applyNumberFormat="1" applyFont="1" applyFill="1" applyBorder="1" applyAlignment="1" applyProtection="1">
      <alignment horizontal="center" vertical="center" shrinkToFit="1"/>
    </xf>
    <xf numFmtId="0" fontId="36" fillId="2" borderId="452" xfId="0" applyFont="1" applyFill="1" applyBorder="1" applyAlignment="1" applyProtection="1">
      <alignment horizontal="center" vertical="center" shrinkToFit="1"/>
    </xf>
    <xf numFmtId="0" fontId="36" fillId="2" borderId="73" xfId="0" applyFont="1" applyFill="1" applyBorder="1" applyAlignment="1" applyProtection="1">
      <alignment horizontal="center" vertical="center" shrinkToFit="1"/>
    </xf>
    <xf numFmtId="0" fontId="41" fillId="2" borderId="19" xfId="0" applyFont="1" applyFill="1" applyBorder="1" applyAlignment="1" applyProtection="1">
      <alignment vertical="center" shrinkToFit="1"/>
    </xf>
    <xf numFmtId="0" fontId="9" fillId="0" borderId="29" xfId="0" applyFont="1" applyFill="1" applyBorder="1" applyAlignment="1" applyProtection="1">
      <alignment horizontal="center" vertical="center"/>
    </xf>
    <xf numFmtId="0" fontId="65" fillId="3" borderId="93" xfId="0" applyFont="1" applyFill="1" applyBorder="1" applyAlignment="1" applyProtection="1">
      <alignment horizontal="center" vertical="center" shrinkToFit="1"/>
    </xf>
    <xf numFmtId="195" fontId="18" fillId="2" borderId="278" xfId="4" applyNumberFormat="1" applyFont="1" applyFill="1" applyBorder="1" applyAlignment="1" applyProtection="1">
      <alignment horizontal="right" vertical="center" shrinkToFit="1"/>
    </xf>
    <xf numFmtId="0" fontId="18" fillId="0" borderId="108" xfId="0" applyFont="1" applyFill="1" applyBorder="1" applyAlignment="1" applyProtection="1">
      <alignment horizontal="center" vertical="center" shrinkToFit="1"/>
    </xf>
    <xf numFmtId="0" fontId="19" fillId="0" borderId="397" xfId="0" applyFont="1" applyFill="1" applyBorder="1" applyAlignment="1" applyProtection="1">
      <alignment horizontal="center" vertical="center" shrinkToFit="1"/>
    </xf>
    <xf numFmtId="207" fontId="9" fillId="2" borderId="243" xfId="1" applyNumberFormat="1" applyFont="1" applyFill="1" applyBorder="1" applyAlignment="1" applyProtection="1">
      <alignment horizontal="center" vertical="center" shrinkToFit="1"/>
    </xf>
    <xf numFmtId="207" fontId="9" fillId="2" borderId="244" xfId="1" applyNumberFormat="1" applyFont="1" applyFill="1" applyBorder="1" applyAlignment="1" applyProtection="1">
      <alignment horizontal="center" vertical="center" shrinkToFit="1"/>
    </xf>
    <xf numFmtId="2" fontId="18" fillId="2" borderId="360" xfId="0" applyNumberFormat="1" applyFont="1" applyFill="1" applyBorder="1" applyAlignment="1" applyProtection="1">
      <alignment horizontal="center" vertical="center" shrinkToFit="1"/>
    </xf>
    <xf numFmtId="38" fontId="19" fillId="0" borderId="17" xfId="0" applyNumberFormat="1" applyFont="1" applyFill="1" applyBorder="1" applyAlignment="1" applyProtection="1">
      <alignment horizontal="center" vertical="center" shrinkToFit="1"/>
    </xf>
    <xf numFmtId="0" fontId="18" fillId="2" borderId="337" xfId="0" applyFont="1" applyFill="1" applyBorder="1" applyAlignment="1" applyProtection="1">
      <alignment horizontal="center" vertical="center" shrinkToFit="1"/>
    </xf>
    <xf numFmtId="0" fontId="18" fillId="2" borderId="456" xfId="0" applyFont="1" applyFill="1" applyBorder="1" applyAlignment="1" applyProtection="1">
      <alignment horizontal="center" vertical="center" shrinkToFit="1"/>
    </xf>
    <xf numFmtId="0" fontId="19" fillId="0" borderId="400" xfId="0" applyFont="1" applyFill="1" applyBorder="1" applyAlignment="1" applyProtection="1">
      <alignment vertical="center" shrinkToFit="1"/>
    </xf>
    <xf numFmtId="196" fontId="2" fillId="11" borderId="128" xfId="3" applyNumberFormat="1" applyFont="1" applyFill="1" applyBorder="1" applyAlignment="1" applyProtection="1">
      <alignment horizontal="left" shrinkToFit="1"/>
      <protection locked="0"/>
    </xf>
    <xf numFmtId="196" fontId="2" fillId="11" borderId="127" xfId="3" applyNumberFormat="1" applyFont="1" applyFill="1" applyBorder="1" applyAlignment="1" applyProtection="1">
      <alignment horizontal="left" shrinkToFit="1"/>
      <protection locked="0"/>
    </xf>
    <xf numFmtId="2" fontId="0" fillId="0" borderId="3" xfId="0" applyNumberFormat="1" applyBorder="1" applyAlignment="1" applyProtection="1">
      <alignment horizontal="center" vertical="center"/>
    </xf>
    <xf numFmtId="2" fontId="0" fillId="0" borderId="5" xfId="0" applyNumberFormat="1" applyBorder="1" applyAlignment="1" applyProtection="1">
      <alignment horizontal="center" vertical="center"/>
    </xf>
    <xf numFmtId="2" fontId="0" fillId="0" borderId="23" xfId="0" applyNumberFormat="1" applyBorder="1" applyProtection="1">
      <alignment vertical="center"/>
    </xf>
    <xf numFmtId="0" fontId="25" fillId="2" borderId="38" xfId="0" applyFont="1" applyFill="1" applyBorder="1" applyAlignment="1" applyProtection="1">
      <alignment vertical="center"/>
    </xf>
    <xf numFmtId="0" fontId="9" fillId="2" borderId="39" xfId="0" applyFont="1" applyFill="1" applyBorder="1" applyAlignment="1" applyProtection="1">
      <alignment vertical="center"/>
    </xf>
    <xf numFmtId="0" fontId="25" fillId="2" borderId="39" xfId="0" applyFont="1" applyFill="1" applyBorder="1" applyAlignment="1" applyProtection="1">
      <alignment vertical="center"/>
    </xf>
    <xf numFmtId="195" fontId="9" fillId="6" borderId="197" xfId="3" applyNumberFormat="1" applyFont="1" applyFill="1" applyBorder="1" applyAlignment="1" applyProtection="1">
      <alignment horizontal="center" vertical="center" shrinkToFit="1"/>
      <protection locked="0"/>
    </xf>
    <xf numFmtId="195" fontId="9" fillId="6" borderId="198" xfId="3" applyNumberFormat="1" applyFont="1" applyFill="1" applyBorder="1" applyAlignment="1" applyProtection="1">
      <alignment horizontal="center" vertical="center" shrinkToFit="1"/>
      <protection locked="0"/>
    </xf>
    <xf numFmtId="0" fontId="9" fillId="2" borderId="134" xfId="3" applyFont="1" applyFill="1" applyBorder="1" applyAlignment="1" applyProtection="1">
      <alignment horizontal="center" vertical="center" shrinkToFit="1"/>
    </xf>
    <xf numFmtId="195" fontId="9" fillId="6" borderId="196" xfId="3" applyNumberFormat="1" applyFont="1" applyFill="1" applyBorder="1" applyAlignment="1" applyProtection="1">
      <alignment horizontal="center" vertical="center" shrinkToFit="1"/>
      <protection locked="0"/>
    </xf>
    <xf numFmtId="201" fontId="9" fillId="0" borderId="458" xfId="2" applyNumberFormat="1" applyFont="1" applyFill="1" applyBorder="1" applyAlignment="1" applyProtection="1">
      <alignment horizontal="right" vertical="center" shrinkToFit="1"/>
    </xf>
    <xf numFmtId="0" fontId="9" fillId="3" borderId="201" xfId="3" applyFont="1" applyFill="1" applyBorder="1" applyAlignment="1" applyProtection="1">
      <alignment horizontal="center" vertical="center" shrinkToFit="1"/>
    </xf>
    <xf numFmtId="0" fontId="25" fillId="3" borderId="202" xfId="3" applyFont="1" applyFill="1" applyBorder="1" applyAlignment="1" applyProtection="1">
      <alignment horizontal="center" vertical="center" shrinkToFit="1"/>
    </xf>
    <xf numFmtId="0" fontId="25" fillId="3" borderId="172" xfId="3" applyFont="1" applyFill="1" applyBorder="1" applyAlignment="1" applyProtection="1">
      <alignment horizontal="center" vertical="center" shrinkToFit="1"/>
    </xf>
    <xf numFmtId="0" fontId="25" fillId="3" borderId="173" xfId="3" applyFont="1" applyFill="1" applyBorder="1" applyAlignment="1" applyProtection="1">
      <alignment horizontal="center" vertical="center" shrinkToFit="1"/>
    </xf>
    <xf numFmtId="0" fontId="9" fillId="0" borderId="0" xfId="3" applyFont="1" applyBorder="1" applyAlignment="1" applyProtection="1">
      <alignment horizontal="center" shrinkToFit="1"/>
    </xf>
    <xf numFmtId="0" fontId="9" fillId="0" borderId="3" xfId="0" applyNumberFormat="1" applyFont="1" applyFill="1" applyBorder="1" applyAlignment="1" applyProtection="1">
      <alignment horizontal="center" vertical="center"/>
    </xf>
    <xf numFmtId="0" fontId="9" fillId="0" borderId="3" xfId="0" applyNumberFormat="1" applyFont="1" applyFill="1" applyBorder="1" applyAlignment="1" applyProtection="1">
      <alignment horizontal="center" vertical="center" wrapText="1"/>
    </xf>
    <xf numFmtId="0" fontId="63" fillId="0" borderId="36" xfId="0" applyFont="1" applyFill="1" applyBorder="1" applyAlignment="1" applyProtection="1">
      <alignment vertical="center" wrapText="1"/>
    </xf>
    <xf numFmtId="2" fontId="36" fillId="2" borderId="393" xfId="0" applyNumberFormat="1" applyFont="1" applyFill="1" applyBorder="1" applyAlignment="1" applyProtection="1">
      <alignment horizontal="center" vertical="center" shrinkToFit="1"/>
    </xf>
    <xf numFmtId="0" fontId="18" fillId="2" borderId="464" xfId="0" applyFont="1" applyFill="1" applyBorder="1" applyAlignment="1" applyProtection="1">
      <alignment horizontal="center" vertical="center" shrinkToFit="1"/>
    </xf>
    <xf numFmtId="0" fontId="18" fillId="2" borderId="446" xfId="0" applyFont="1" applyFill="1" applyBorder="1" applyAlignment="1" applyProtection="1">
      <alignment horizontal="center" vertical="center" shrinkToFit="1"/>
    </xf>
    <xf numFmtId="0" fontId="18" fillId="2" borderId="444" xfId="0" applyFont="1" applyFill="1" applyBorder="1" applyAlignment="1" applyProtection="1">
      <alignment horizontal="center" vertical="center" shrinkToFit="1"/>
    </xf>
    <xf numFmtId="0" fontId="18" fillId="2" borderId="465" xfId="0" applyFont="1" applyFill="1" applyBorder="1" applyAlignment="1" applyProtection="1">
      <alignment horizontal="center" vertical="center" shrinkToFit="1"/>
    </xf>
    <xf numFmtId="0" fontId="18" fillId="2" borderId="466" xfId="0" applyFont="1" applyFill="1" applyBorder="1" applyAlignment="1" applyProtection="1">
      <alignment horizontal="center" vertical="center" shrinkToFit="1"/>
    </xf>
    <xf numFmtId="0" fontId="18" fillId="2" borderId="467" xfId="0" applyFont="1" applyFill="1" applyBorder="1" applyAlignment="1" applyProtection="1">
      <alignment horizontal="center" vertical="center" shrinkToFit="1"/>
    </xf>
    <xf numFmtId="0" fontId="18" fillId="2" borderId="468" xfId="0" applyFont="1" applyFill="1" applyBorder="1" applyAlignment="1" applyProtection="1">
      <alignment horizontal="center" vertical="center" shrinkToFit="1"/>
    </xf>
    <xf numFmtId="0" fontId="18" fillId="2" borderId="470" xfId="0" applyFont="1" applyFill="1" applyBorder="1" applyAlignment="1" applyProtection="1">
      <alignment horizontal="center" vertical="center" shrinkToFit="1"/>
    </xf>
    <xf numFmtId="0" fontId="18" fillId="2" borderId="121" xfId="0" applyFont="1" applyFill="1" applyBorder="1" applyAlignment="1" applyProtection="1">
      <alignment horizontal="center" vertical="center" shrinkToFit="1"/>
    </xf>
    <xf numFmtId="0" fontId="18" fillId="2" borderId="471" xfId="0" applyFont="1" applyFill="1" applyBorder="1" applyAlignment="1" applyProtection="1">
      <alignment horizontal="center" vertical="center" shrinkToFit="1"/>
    </xf>
    <xf numFmtId="0" fontId="18" fillId="2" borderId="472" xfId="0" applyFont="1" applyFill="1" applyBorder="1" applyAlignment="1" applyProtection="1">
      <alignment horizontal="center" vertical="center" shrinkToFit="1"/>
    </xf>
    <xf numFmtId="0" fontId="18" fillId="2" borderId="226" xfId="0" applyFont="1" applyFill="1" applyBorder="1" applyAlignment="1" applyProtection="1">
      <alignment horizontal="center" vertical="center" shrinkToFit="1"/>
    </xf>
    <xf numFmtId="0" fontId="18" fillId="2" borderId="186" xfId="0" applyFont="1" applyFill="1" applyBorder="1" applyAlignment="1" applyProtection="1">
      <alignment horizontal="center" vertical="center" shrinkToFit="1"/>
    </xf>
    <xf numFmtId="0" fontId="18" fillId="2" borderId="326" xfId="0" applyFont="1" applyFill="1" applyBorder="1" applyAlignment="1" applyProtection="1">
      <alignment horizontal="center" vertical="center" shrinkToFit="1"/>
    </xf>
    <xf numFmtId="0" fontId="18" fillId="2" borderId="296" xfId="0" applyFont="1" applyFill="1" applyBorder="1" applyAlignment="1" applyProtection="1">
      <alignment horizontal="center" vertical="center" shrinkToFit="1"/>
    </xf>
    <xf numFmtId="0" fontId="18" fillId="2" borderId="470" xfId="0" applyNumberFormat="1" applyFont="1" applyFill="1" applyBorder="1" applyAlignment="1" applyProtection="1">
      <alignment horizontal="center" vertical="center" shrinkToFit="1"/>
    </xf>
    <xf numFmtId="0" fontId="18" fillId="2" borderId="121" xfId="0" applyNumberFormat="1" applyFont="1" applyFill="1" applyBorder="1" applyAlignment="1" applyProtection="1">
      <alignment horizontal="center" vertical="center" shrinkToFit="1"/>
    </xf>
    <xf numFmtId="0" fontId="18" fillId="2" borderId="221" xfId="0" applyNumberFormat="1" applyFont="1" applyFill="1" applyBorder="1" applyAlignment="1" applyProtection="1">
      <alignment horizontal="center" vertical="center" shrinkToFit="1"/>
    </xf>
    <xf numFmtId="0" fontId="18" fillId="2" borderId="279" xfId="0" applyNumberFormat="1" applyFont="1" applyFill="1" applyBorder="1" applyAlignment="1" applyProtection="1">
      <alignment horizontal="center" vertical="center" shrinkToFit="1"/>
    </xf>
    <xf numFmtId="0" fontId="18" fillId="2" borderId="471" xfId="0" applyNumberFormat="1" applyFont="1" applyFill="1" applyBorder="1" applyAlignment="1" applyProtection="1">
      <alignment horizontal="center" vertical="center" shrinkToFit="1"/>
    </xf>
    <xf numFmtId="0" fontId="18" fillId="2" borderId="225" xfId="0" applyNumberFormat="1" applyFont="1" applyFill="1" applyBorder="1" applyAlignment="1" applyProtection="1">
      <alignment horizontal="center" vertical="center" shrinkToFit="1"/>
    </xf>
    <xf numFmtId="0" fontId="18" fillId="2" borderId="230" xfId="0" applyNumberFormat="1" applyFont="1" applyFill="1" applyBorder="1" applyAlignment="1" applyProtection="1">
      <alignment horizontal="center" vertical="center" shrinkToFit="1"/>
    </xf>
    <xf numFmtId="0" fontId="18" fillId="2" borderId="368" xfId="0" applyNumberFormat="1" applyFont="1" applyFill="1" applyBorder="1" applyAlignment="1" applyProtection="1">
      <alignment horizontal="center" vertical="center" shrinkToFit="1"/>
    </xf>
    <xf numFmtId="0" fontId="18" fillId="2" borderId="326" xfId="0" applyNumberFormat="1" applyFont="1" applyFill="1" applyBorder="1" applyAlignment="1" applyProtection="1">
      <alignment horizontal="center" vertical="center" shrinkToFit="1"/>
    </xf>
    <xf numFmtId="0" fontId="18" fillId="2" borderId="296" xfId="0" applyNumberFormat="1" applyFont="1" applyFill="1" applyBorder="1" applyAlignment="1" applyProtection="1">
      <alignment horizontal="center" vertical="center" shrinkToFit="1"/>
    </xf>
    <xf numFmtId="0" fontId="18" fillId="3" borderId="473" xfId="0" applyFont="1" applyFill="1" applyBorder="1" applyAlignment="1" applyProtection="1">
      <alignment horizontal="center" vertical="center" shrinkToFit="1"/>
    </xf>
    <xf numFmtId="0" fontId="18" fillId="2" borderId="373" xfId="0" applyFont="1" applyFill="1" applyBorder="1" applyAlignment="1" applyProtection="1">
      <alignment horizontal="center" vertical="center" shrinkToFit="1"/>
    </xf>
    <xf numFmtId="0" fontId="18" fillId="3" borderId="302" xfId="0" applyFont="1" applyFill="1" applyBorder="1" applyAlignment="1" applyProtection="1">
      <alignment horizontal="center" vertical="center" shrinkToFit="1"/>
    </xf>
    <xf numFmtId="0" fontId="18" fillId="2" borderId="183" xfId="0" applyNumberFormat="1" applyFont="1" applyFill="1" applyBorder="1" applyAlignment="1" applyProtection="1">
      <alignment horizontal="center" vertical="center" shrinkToFit="1"/>
    </xf>
    <xf numFmtId="0" fontId="18" fillId="2" borderId="183" xfId="0" applyFont="1" applyFill="1" applyBorder="1" applyAlignment="1" applyProtection="1">
      <alignment horizontal="center" vertical="center" shrinkToFit="1"/>
    </xf>
    <xf numFmtId="0" fontId="18" fillId="2" borderId="186" xfId="0" applyNumberFormat="1" applyFont="1" applyFill="1" applyBorder="1" applyAlignment="1" applyProtection="1">
      <alignment horizontal="center" vertical="center" shrinkToFit="1"/>
    </xf>
    <xf numFmtId="0" fontId="18" fillId="2" borderId="188" xfId="0" applyNumberFormat="1" applyFont="1" applyFill="1" applyBorder="1" applyAlignment="1" applyProtection="1">
      <alignment horizontal="center" vertical="center" shrinkToFit="1"/>
    </xf>
    <xf numFmtId="0" fontId="18" fillId="2" borderId="188" xfId="0" applyFont="1" applyFill="1" applyBorder="1" applyAlignment="1" applyProtection="1">
      <alignment horizontal="center" vertical="center" shrinkToFit="1"/>
    </xf>
    <xf numFmtId="0" fontId="18" fillId="2" borderId="476" xfId="0" applyFont="1" applyFill="1" applyBorder="1" applyAlignment="1" applyProtection="1">
      <alignment horizontal="center" vertical="center" shrinkToFit="1"/>
    </xf>
    <xf numFmtId="2" fontId="18" fillId="2" borderId="11" xfId="0" applyNumberFormat="1" applyFont="1" applyFill="1" applyBorder="1" applyAlignment="1" applyProtection="1">
      <alignment horizontal="center" vertical="center" shrinkToFit="1"/>
    </xf>
    <xf numFmtId="2" fontId="18" fillId="2" borderId="361" xfId="0" applyNumberFormat="1" applyFont="1" applyFill="1" applyBorder="1" applyAlignment="1" applyProtection="1">
      <alignment horizontal="center" vertical="center" shrinkToFit="1"/>
    </xf>
    <xf numFmtId="2" fontId="18" fillId="2" borderId="359" xfId="0" applyNumberFormat="1" applyFont="1" applyFill="1" applyBorder="1" applyAlignment="1" applyProtection="1">
      <alignment horizontal="center" vertical="center" shrinkToFit="1"/>
    </xf>
    <xf numFmtId="0" fontId="18" fillId="2" borderId="420" xfId="0" applyFont="1" applyFill="1" applyBorder="1" applyAlignment="1" applyProtection="1">
      <alignment horizontal="center" vertical="center" shrinkToFit="1"/>
    </xf>
    <xf numFmtId="0" fontId="18" fillId="2" borderId="247" xfId="0" applyFont="1" applyFill="1" applyBorder="1" applyAlignment="1" applyProtection="1">
      <alignment horizontal="center" vertical="center" shrinkToFit="1"/>
    </xf>
    <xf numFmtId="2" fontId="18" fillId="2" borderId="14" xfId="0" applyNumberFormat="1" applyFont="1" applyFill="1" applyBorder="1" applyAlignment="1" applyProtection="1">
      <alignment horizontal="center" vertical="center" shrinkToFit="1"/>
    </xf>
    <xf numFmtId="0" fontId="18" fillId="2" borderId="328" xfId="0" applyFont="1" applyFill="1" applyBorder="1" applyAlignment="1" applyProtection="1">
      <alignment horizontal="center" vertical="center" shrinkToFit="1"/>
    </xf>
    <xf numFmtId="2" fontId="18" fillId="2" borderId="247" xfId="0" applyNumberFormat="1" applyFont="1" applyFill="1" applyBorder="1" applyAlignment="1" applyProtection="1">
      <alignment horizontal="center" vertical="center" shrinkToFit="1"/>
    </xf>
    <xf numFmtId="2" fontId="18" fillId="2" borderId="425" xfId="0" applyNumberFormat="1" applyFont="1" applyFill="1" applyBorder="1" applyAlignment="1" applyProtection="1">
      <alignment horizontal="center" vertical="center" shrinkToFit="1"/>
    </xf>
    <xf numFmtId="2" fontId="18" fillId="2" borderId="159" xfId="0" applyNumberFormat="1" applyFont="1" applyFill="1" applyBorder="1" applyAlignment="1" applyProtection="1">
      <alignment horizontal="center" vertical="center" shrinkToFit="1"/>
    </xf>
    <xf numFmtId="2" fontId="18" fillId="2" borderId="328" xfId="0" applyNumberFormat="1" applyFont="1" applyFill="1" applyBorder="1" applyAlignment="1" applyProtection="1">
      <alignment horizontal="center" vertical="center" shrinkToFit="1"/>
    </xf>
    <xf numFmtId="2" fontId="18" fillId="2" borderId="398" xfId="0" applyNumberFormat="1" applyFont="1" applyFill="1" applyBorder="1" applyAlignment="1" applyProtection="1">
      <alignment horizontal="center" vertical="center" shrinkToFit="1"/>
    </xf>
    <xf numFmtId="0" fontId="18" fillId="2" borderId="246" xfId="0" applyFont="1" applyFill="1" applyBorder="1" applyAlignment="1" applyProtection="1">
      <alignment horizontal="center" vertical="center" shrinkToFit="1"/>
    </xf>
    <xf numFmtId="2" fontId="18" fillId="2" borderId="15" xfId="0" applyNumberFormat="1" applyFont="1" applyFill="1" applyBorder="1" applyAlignment="1" applyProtection="1">
      <alignment horizontal="center" vertical="center" shrinkToFit="1"/>
    </xf>
    <xf numFmtId="0" fontId="18" fillId="2" borderId="421" xfId="0" applyFont="1" applyFill="1" applyBorder="1" applyAlignment="1" applyProtection="1">
      <alignment horizontal="center" vertical="center" shrinkToFit="1"/>
    </xf>
    <xf numFmtId="0" fontId="18" fillId="2" borderId="329" xfId="0" applyFont="1" applyFill="1" applyBorder="1" applyAlignment="1" applyProtection="1">
      <alignment horizontal="center" vertical="center" shrinkToFit="1"/>
    </xf>
    <xf numFmtId="2" fontId="18" fillId="2" borderId="94" xfId="0" applyNumberFormat="1" applyFont="1" applyFill="1" applyBorder="1" applyAlignment="1" applyProtection="1">
      <alignment horizontal="center" vertical="center" shrinkToFit="1"/>
    </xf>
    <xf numFmtId="0" fontId="18" fillId="2" borderId="463" xfId="0" applyFont="1" applyFill="1" applyBorder="1" applyAlignment="1" applyProtection="1">
      <alignment horizontal="center" vertical="center" shrinkToFit="1"/>
    </xf>
    <xf numFmtId="2" fontId="18" fillId="2" borderId="52" xfId="0" applyNumberFormat="1" applyFont="1" applyFill="1" applyBorder="1" applyAlignment="1" applyProtection="1">
      <alignment horizontal="center" vertical="center" shrinkToFit="1"/>
    </xf>
    <xf numFmtId="2" fontId="18" fillId="2" borderId="418" xfId="0" applyNumberFormat="1" applyFont="1" applyFill="1" applyBorder="1" applyAlignment="1" applyProtection="1">
      <alignment horizontal="center" vertical="center" shrinkToFit="1"/>
    </xf>
    <xf numFmtId="2" fontId="18" fillId="2" borderId="420" xfId="0" applyNumberFormat="1" applyFont="1" applyFill="1" applyBorder="1" applyAlignment="1" applyProtection="1">
      <alignment horizontal="center" vertical="center" shrinkToFit="1"/>
    </xf>
    <xf numFmtId="2" fontId="18" fillId="2" borderId="421" xfId="0" applyNumberFormat="1" applyFont="1" applyFill="1" applyBorder="1" applyAlignment="1" applyProtection="1">
      <alignment horizontal="center" vertical="center" shrinkToFit="1"/>
    </xf>
    <xf numFmtId="2" fontId="18" fillId="2" borderId="423" xfId="0" applyNumberFormat="1" applyFont="1" applyFill="1" applyBorder="1" applyAlignment="1" applyProtection="1">
      <alignment horizontal="center" vertical="center" shrinkToFit="1"/>
    </xf>
    <xf numFmtId="2" fontId="18" fillId="2" borderId="380" xfId="0" applyNumberFormat="1" applyFont="1" applyFill="1" applyBorder="1" applyAlignment="1" applyProtection="1">
      <alignment horizontal="center" vertical="center" shrinkToFit="1"/>
    </xf>
    <xf numFmtId="0" fontId="18" fillId="2" borderId="74" xfId="0" applyFont="1" applyFill="1" applyBorder="1" applyAlignment="1" applyProtection="1">
      <alignment horizontal="center" vertical="center" shrinkToFit="1"/>
    </xf>
    <xf numFmtId="0" fontId="18" fillId="2" borderId="462" xfId="0" applyFont="1" applyFill="1" applyBorder="1" applyAlignment="1" applyProtection="1">
      <alignment horizontal="center" vertical="center" shrinkToFit="1"/>
    </xf>
    <xf numFmtId="0" fontId="18" fillId="2" borderId="73" xfId="0" applyFont="1" applyFill="1" applyBorder="1" applyAlignment="1" applyProtection="1">
      <alignment horizontal="center" vertical="center" shrinkToFit="1"/>
    </xf>
    <xf numFmtId="192" fontId="9" fillId="4" borderId="477" xfId="1" applyNumberFormat="1" applyFont="1" applyFill="1" applyBorder="1" applyAlignment="1" applyProtection="1">
      <alignment horizontal="right" vertical="center" shrinkToFit="1"/>
      <protection locked="0"/>
    </xf>
    <xf numFmtId="192" fontId="9" fillId="4" borderId="478" xfId="1" applyNumberFormat="1" applyFont="1" applyFill="1" applyBorder="1" applyAlignment="1" applyProtection="1">
      <alignment horizontal="right" vertical="center" shrinkToFit="1"/>
      <protection locked="0"/>
    </xf>
    <xf numFmtId="192" fontId="9" fillId="4" borderId="479" xfId="1" applyNumberFormat="1" applyFont="1" applyFill="1" applyBorder="1" applyAlignment="1" applyProtection="1">
      <alignment horizontal="right" vertical="center" shrinkToFit="1"/>
      <protection locked="0"/>
    </xf>
    <xf numFmtId="192" fontId="9" fillId="4" borderId="376" xfId="1" applyNumberFormat="1" applyFont="1" applyFill="1" applyBorder="1" applyAlignment="1" applyProtection="1">
      <alignment horizontal="right" vertical="center" shrinkToFit="1"/>
      <protection locked="0"/>
    </xf>
    <xf numFmtId="192" fontId="9" fillId="4" borderId="316" xfId="1" applyNumberFormat="1" applyFont="1" applyFill="1" applyBorder="1" applyAlignment="1" applyProtection="1">
      <alignment horizontal="right" vertical="center" shrinkToFit="1"/>
      <protection locked="0"/>
    </xf>
    <xf numFmtId="192" fontId="9" fillId="4" borderId="451" xfId="1" applyNumberFormat="1" applyFont="1" applyFill="1" applyBorder="1" applyAlignment="1" applyProtection="1">
      <alignment horizontal="right" vertical="center" shrinkToFit="1"/>
      <protection locked="0"/>
    </xf>
    <xf numFmtId="188" fontId="9" fillId="2" borderId="128" xfId="1" applyNumberFormat="1" applyFont="1" applyFill="1" applyBorder="1" applyAlignment="1" applyProtection="1">
      <alignment horizontal="right" vertical="center" shrinkToFit="1"/>
    </xf>
    <xf numFmtId="188" fontId="9" fillId="2" borderId="245" xfId="1" applyNumberFormat="1" applyFont="1" applyFill="1" applyBorder="1" applyAlignment="1" applyProtection="1">
      <alignment horizontal="right" vertical="center" shrinkToFit="1"/>
    </xf>
    <xf numFmtId="188" fontId="9" fillId="2" borderId="127" xfId="1" applyNumberFormat="1" applyFont="1" applyFill="1" applyBorder="1" applyAlignment="1" applyProtection="1">
      <alignment horizontal="right" vertical="center" shrinkToFit="1"/>
    </xf>
    <xf numFmtId="0" fontId="19" fillId="0" borderId="481" xfId="0" applyFont="1" applyFill="1" applyBorder="1" applyAlignment="1" applyProtection="1">
      <alignment horizontal="center" vertical="center" shrinkToFit="1"/>
    </xf>
    <xf numFmtId="0" fontId="19" fillId="0" borderId="480" xfId="0" applyFont="1" applyFill="1" applyBorder="1" applyAlignment="1" applyProtection="1">
      <alignment horizontal="center" vertical="center" shrinkToFit="1"/>
    </xf>
    <xf numFmtId="0" fontId="9" fillId="3" borderId="90" xfId="3" applyFont="1" applyFill="1" applyBorder="1" applyAlignment="1" applyProtection="1">
      <alignment horizontal="center" vertical="center"/>
    </xf>
    <xf numFmtId="0" fontId="9" fillId="3" borderId="209" xfId="3" applyFont="1" applyFill="1" applyBorder="1" applyAlignment="1" applyProtection="1">
      <alignment horizontal="center" vertical="center"/>
    </xf>
    <xf numFmtId="0" fontId="49" fillId="2" borderId="377" xfId="3" applyFont="1" applyFill="1" applyBorder="1" applyAlignment="1" applyProtection="1">
      <alignment horizontal="right" vertical="center" shrinkToFit="1"/>
    </xf>
    <xf numFmtId="0" fontId="49" fillId="2" borderId="371" xfId="3" applyFont="1" applyFill="1" applyBorder="1" applyAlignment="1" applyProtection="1">
      <alignment horizontal="right" vertical="center" shrinkToFit="1"/>
    </xf>
    <xf numFmtId="0" fontId="49" fillId="2" borderId="375" xfId="3" applyFont="1" applyFill="1" applyBorder="1" applyAlignment="1" applyProtection="1">
      <alignment horizontal="right" vertical="center" shrinkToFit="1"/>
    </xf>
    <xf numFmtId="0" fontId="40" fillId="2" borderId="479" xfId="0" applyFont="1" applyFill="1" applyBorder="1" applyAlignment="1" applyProtection="1">
      <alignment vertical="center"/>
    </xf>
    <xf numFmtId="0" fontId="40" fillId="2" borderId="336" xfId="0" applyFont="1" applyFill="1" applyBorder="1" applyAlignment="1" applyProtection="1">
      <alignment vertical="center"/>
    </xf>
    <xf numFmtId="0" fontId="40" fillId="2" borderId="451" xfId="0" applyFont="1" applyFill="1" applyBorder="1" applyAlignment="1" applyProtection="1">
      <alignment vertical="center"/>
    </xf>
    <xf numFmtId="0" fontId="9" fillId="0" borderId="16" xfId="3" applyFont="1" applyBorder="1" applyAlignment="1" applyProtection="1">
      <alignment horizontal="center" shrinkToFit="1"/>
    </xf>
    <xf numFmtId="0" fontId="18" fillId="0" borderId="3" xfId="9" applyNumberFormat="1" applyFont="1" applyFill="1" applyBorder="1" applyProtection="1">
      <alignment vertical="center"/>
    </xf>
    <xf numFmtId="0" fontId="54" fillId="2" borderId="8" xfId="3" applyFont="1" applyFill="1" applyBorder="1" applyAlignment="1" applyProtection="1">
      <alignment vertical="center" shrinkToFit="1"/>
    </xf>
    <xf numFmtId="0" fontId="54" fillId="2" borderId="20" xfId="3" applyFont="1" applyFill="1" applyBorder="1" applyAlignment="1" applyProtection="1">
      <alignment vertical="center" shrinkToFit="1"/>
    </xf>
    <xf numFmtId="0" fontId="52" fillId="3" borderId="416" xfId="3" applyFont="1" applyFill="1" applyBorder="1" applyAlignment="1" applyProtection="1">
      <alignment horizontal="center" vertical="center" shrinkToFit="1"/>
    </xf>
    <xf numFmtId="0" fontId="52" fillId="2" borderId="416" xfId="3" applyFont="1" applyFill="1" applyBorder="1" applyAlignment="1" applyProtection="1">
      <alignment horizontal="center" vertical="center" shrinkToFit="1"/>
    </xf>
    <xf numFmtId="0" fontId="51" fillId="2" borderId="13" xfId="3" applyFont="1" applyFill="1" applyBorder="1" applyAlignment="1" applyProtection="1">
      <alignment vertical="center" shrinkToFit="1"/>
    </xf>
    <xf numFmtId="0" fontId="51" fillId="2" borderId="5" xfId="3" applyFont="1" applyFill="1" applyBorder="1" applyAlignment="1" applyProtection="1">
      <alignment vertical="center" shrinkToFit="1"/>
    </xf>
    <xf numFmtId="0" fontId="52" fillId="2" borderId="13" xfId="3" applyFont="1" applyFill="1" applyBorder="1" applyAlignment="1" applyProtection="1">
      <alignment vertical="center" shrinkToFit="1"/>
    </xf>
    <xf numFmtId="0" fontId="9" fillId="2" borderId="18" xfId="0" applyFont="1" applyFill="1" applyBorder="1" applyAlignment="1" applyProtection="1">
      <alignment horizontal="center" vertical="center"/>
    </xf>
    <xf numFmtId="0" fontId="9" fillId="2" borderId="30"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20"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wrapText="1"/>
    </xf>
    <xf numFmtId="0" fontId="9" fillId="0" borderId="0" xfId="0" applyFont="1" applyAlignment="1" applyProtection="1">
      <alignment horizontal="center" vertical="center"/>
    </xf>
    <xf numFmtId="0" fontId="18" fillId="2" borderId="3" xfId="0"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8" fillId="2" borderId="18" xfId="0" applyFont="1" applyFill="1" applyBorder="1" applyAlignment="1" applyProtection="1">
      <alignment horizontal="center" vertical="center"/>
    </xf>
    <xf numFmtId="0" fontId="9" fillId="2" borderId="18" xfId="0" applyFont="1" applyFill="1" applyBorder="1" applyAlignment="1" applyProtection="1">
      <alignment horizontal="center" vertical="center" wrapText="1"/>
    </xf>
    <xf numFmtId="0" fontId="9" fillId="2" borderId="30" xfId="0" applyFont="1" applyFill="1" applyBorder="1" applyAlignment="1" applyProtection="1">
      <alignment horizontal="center" vertical="center" wrapText="1"/>
    </xf>
    <xf numFmtId="0" fontId="9" fillId="2" borderId="20"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9" fillId="2" borderId="17" xfId="0" applyFont="1" applyFill="1" applyBorder="1" applyAlignment="1" applyProtection="1">
      <alignment horizontal="center" vertical="center"/>
    </xf>
    <xf numFmtId="0" fontId="9" fillId="2" borderId="16" xfId="0" applyFont="1" applyFill="1" applyBorder="1" applyAlignment="1" applyProtection="1">
      <alignment horizontal="center" vertical="center"/>
    </xf>
    <xf numFmtId="0" fontId="9" fillId="2" borderId="17" xfId="0" applyFont="1" applyFill="1" applyBorder="1" applyAlignment="1" applyProtection="1">
      <alignment horizontal="center" vertical="center" shrinkToFit="1"/>
    </xf>
    <xf numFmtId="0" fontId="9" fillId="2" borderId="0" xfId="0" applyFont="1" applyFill="1" applyBorder="1" applyAlignment="1" applyProtection="1">
      <alignment horizontal="center" vertical="center" shrinkToFit="1"/>
    </xf>
    <xf numFmtId="0" fontId="9" fillId="2" borderId="143" xfId="0" applyFont="1" applyFill="1" applyBorder="1" applyAlignment="1" applyProtection="1">
      <alignment horizontal="left" vertical="center" wrapText="1"/>
    </xf>
    <xf numFmtId="0" fontId="9" fillId="2" borderId="17" xfId="0" applyFont="1" applyFill="1" applyBorder="1" applyAlignment="1" applyProtection="1">
      <alignment horizontal="center" vertical="center" wrapText="1"/>
    </xf>
    <xf numFmtId="0" fontId="9" fillId="2" borderId="16"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xf>
    <xf numFmtId="0" fontId="18" fillId="2" borderId="13" xfId="0" applyFont="1" applyFill="1" applyBorder="1" applyAlignment="1" applyProtection="1">
      <alignment horizontal="center" vertical="center"/>
    </xf>
    <xf numFmtId="181" fontId="9" fillId="2" borderId="17" xfId="0" applyNumberFormat="1" applyFont="1" applyFill="1" applyBorder="1" applyAlignment="1" applyProtection="1">
      <alignment horizontal="center" vertical="center" shrinkToFit="1"/>
    </xf>
    <xf numFmtId="181" fontId="9" fillId="2" borderId="13" xfId="0" applyNumberFormat="1" applyFont="1" applyFill="1" applyBorder="1" applyAlignment="1" applyProtection="1">
      <alignment horizontal="center" vertical="center" shrinkToFit="1"/>
    </xf>
    <xf numFmtId="0" fontId="9" fillId="2" borderId="0" xfId="0" applyFont="1" applyFill="1" applyAlignment="1" applyProtection="1">
      <alignment horizontal="left" vertical="center" wrapText="1"/>
    </xf>
    <xf numFmtId="0" fontId="9" fillId="2" borderId="17" xfId="0" applyFont="1" applyFill="1" applyBorder="1" applyAlignment="1" applyProtection="1">
      <alignment horizontal="left" vertical="center"/>
    </xf>
    <xf numFmtId="0" fontId="9" fillId="2" borderId="30" xfId="0" applyFont="1" applyFill="1" applyBorder="1" applyAlignment="1" applyProtection="1">
      <alignment horizontal="left" vertical="center"/>
    </xf>
    <xf numFmtId="0" fontId="9" fillId="0" borderId="7" xfId="0" applyFont="1" applyBorder="1" applyAlignment="1" applyProtection="1">
      <alignment horizontal="center" vertical="center"/>
    </xf>
    <xf numFmtId="0" fontId="24" fillId="0" borderId="3" xfId="0" applyFont="1" applyBorder="1" applyAlignment="1" applyProtection="1">
      <alignment horizontal="center" vertical="center"/>
    </xf>
    <xf numFmtId="0" fontId="9" fillId="0" borderId="16" xfId="0" applyFont="1" applyBorder="1" applyAlignment="1" applyProtection="1">
      <alignment horizontal="center" vertical="center"/>
    </xf>
    <xf numFmtId="0" fontId="9" fillId="0" borderId="17" xfId="0" applyFont="1" applyBorder="1" applyAlignment="1" applyProtection="1">
      <alignment horizontal="center" vertical="center"/>
    </xf>
    <xf numFmtId="0" fontId="9" fillId="2" borderId="0" xfId="0" applyFont="1" applyFill="1" applyBorder="1" applyAlignment="1" applyProtection="1">
      <alignment horizontal="left" vertical="center"/>
    </xf>
    <xf numFmtId="0" fontId="52" fillId="3" borderId="245" xfId="3" applyFont="1" applyFill="1" applyBorder="1" applyAlignment="1" applyProtection="1">
      <alignment horizontal="center" vertical="center" shrinkToFit="1"/>
    </xf>
    <xf numFmtId="202" fontId="9" fillId="0" borderId="0" xfId="3" applyNumberFormat="1" applyFont="1" applyAlignment="1" applyProtection="1">
      <alignment horizontal="center" vertical="center" shrinkToFit="1"/>
    </xf>
    <xf numFmtId="0" fontId="9" fillId="0" borderId="3" xfId="3" applyFont="1" applyBorder="1" applyAlignment="1" applyProtection="1">
      <alignment horizontal="center" vertical="center" shrinkToFit="1"/>
    </xf>
    <xf numFmtId="0" fontId="47" fillId="2" borderId="3" xfId="0" applyFont="1" applyFill="1" applyBorder="1" applyAlignment="1" applyProtection="1">
      <alignment horizontal="center" vertical="center"/>
    </xf>
    <xf numFmtId="0" fontId="47" fillId="2" borderId="0" xfId="0" applyFont="1" applyFill="1" applyAlignment="1" applyProtection="1">
      <alignment horizontal="center" vertical="center"/>
    </xf>
    <xf numFmtId="0" fontId="40" fillId="0" borderId="3" xfId="0" applyFont="1" applyBorder="1" applyAlignment="1" applyProtection="1">
      <alignment horizontal="center" vertical="center"/>
    </xf>
    <xf numFmtId="179" fontId="47" fillId="2" borderId="0" xfId="0" applyNumberFormat="1" applyFont="1" applyFill="1" applyAlignment="1" applyProtection="1">
      <alignment horizontal="center" vertical="center"/>
    </xf>
    <xf numFmtId="0" fontId="40" fillId="2" borderId="130" xfId="0" applyFont="1" applyFill="1" applyBorder="1" applyAlignment="1" applyProtection="1">
      <alignment horizontal="center" vertical="center"/>
    </xf>
    <xf numFmtId="0" fontId="40" fillId="2" borderId="0" xfId="0" applyFont="1" applyFill="1" applyBorder="1" applyAlignment="1" applyProtection="1">
      <alignment horizontal="center" vertical="center"/>
    </xf>
    <xf numFmtId="0" fontId="40" fillId="6" borderId="136" xfId="0" applyFont="1" applyFill="1" applyBorder="1" applyAlignment="1" applyProtection="1">
      <alignment horizontal="center" vertical="center" shrinkToFit="1"/>
      <protection locked="0"/>
    </xf>
    <xf numFmtId="0" fontId="40" fillId="6" borderId="130" xfId="0" applyFont="1" applyFill="1" applyBorder="1" applyAlignment="1" applyProtection="1">
      <alignment horizontal="center" vertical="center" shrinkToFit="1"/>
      <protection locked="0"/>
    </xf>
    <xf numFmtId="0" fontId="9" fillId="3" borderId="11" xfId="3" applyFont="1" applyFill="1" applyBorder="1" applyAlignment="1" applyProtection="1">
      <alignment horizontal="center" vertical="center" shrinkToFit="1"/>
    </xf>
    <xf numFmtId="0" fontId="9" fillId="3" borderId="196" xfId="3" applyFont="1" applyFill="1" applyBorder="1" applyAlignment="1" applyProtection="1">
      <alignment horizontal="center" vertical="center" shrinkToFit="1"/>
    </xf>
    <xf numFmtId="0" fontId="9" fillId="3" borderId="198" xfId="3" applyFont="1" applyFill="1" applyBorder="1" applyAlignment="1" applyProtection="1">
      <alignment horizontal="center" vertical="center" shrinkToFit="1"/>
    </xf>
    <xf numFmtId="0" fontId="9" fillId="3" borderId="197" xfId="3" applyFont="1" applyFill="1" applyBorder="1" applyAlignment="1" applyProtection="1">
      <alignment horizontal="center" vertical="center" shrinkToFit="1"/>
    </xf>
    <xf numFmtId="0" fontId="9" fillId="2" borderId="0" xfId="3" applyFont="1" applyFill="1" applyBorder="1" applyAlignment="1" applyProtection="1">
      <alignment horizontal="left" vertical="center"/>
    </xf>
    <xf numFmtId="0" fontId="18" fillId="0" borderId="23" xfId="0" applyFont="1" applyBorder="1" applyAlignment="1" applyProtection="1">
      <alignment horizontal="center" vertical="center" shrinkToFit="1"/>
    </xf>
    <xf numFmtId="0" fontId="18" fillId="0" borderId="24" xfId="0" applyFont="1" applyBorder="1" applyAlignment="1" applyProtection="1">
      <alignment horizontal="center" vertical="center" shrinkToFit="1"/>
    </xf>
    <xf numFmtId="0" fontId="18" fillId="0" borderId="22" xfId="0" applyFont="1" applyBorder="1" applyAlignment="1" applyProtection="1">
      <alignment horizontal="center" vertical="center" shrinkToFit="1"/>
    </xf>
    <xf numFmtId="0" fontId="4" fillId="2" borderId="5" xfId="3" applyFont="1" applyFill="1" applyBorder="1" applyAlignment="1" applyProtection="1">
      <alignment horizontal="center" vertical="center" shrinkToFit="1"/>
    </xf>
    <xf numFmtId="0" fontId="18" fillId="2" borderId="359" xfId="0" applyFont="1" applyFill="1" applyBorder="1" applyAlignment="1" applyProtection="1">
      <alignment horizontal="center" vertical="center" shrinkToFit="1"/>
    </xf>
    <xf numFmtId="0" fontId="18" fillId="2" borderId="14" xfId="0" applyFont="1" applyFill="1" applyBorder="1" applyAlignment="1" applyProtection="1">
      <alignment horizontal="center" vertical="center" shrinkToFit="1"/>
    </xf>
    <xf numFmtId="0" fontId="18" fillId="2" borderId="285" xfId="0" applyFont="1" applyFill="1" applyBorder="1" applyAlignment="1" applyProtection="1">
      <alignment horizontal="center" vertical="center" shrinkToFit="1"/>
    </xf>
    <xf numFmtId="0" fontId="36" fillId="2" borderId="427" xfId="0" applyFont="1" applyFill="1" applyBorder="1" applyAlignment="1" applyProtection="1">
      <alignment horizontal="center" vertical="center" shrinkToFit="1"/>
    </xf>
    <xf numFmtId="0" fontId="18" fillId="2" borderId="234" xfId="0" applyFont="1" applyFill="1" applyBorder="1" applyAlignment="1" applyProtection="1">
      <alignment horizontal="center" vertical="center"/>
    </xf>
    <xf numFmtId="0" fontId="18" fillId="2" borderId="293" xfId="0" applyFont="1" applyFill="1" applyBorder="1" applyAlignment="1" applyProtection="1">
      <alignment horizontal="center" vertical="center"/>
    </xf>
    <xf numFmtId="0" fontId="18" fillId="2" borderId="233" xfId="0" applyFont="1" applyFill="1" applyBorder="1" applyAlignment="1" applyProtection="1">
      <alignment horizontal="center" vertical="center"/>
    </xf>
    <xf numFmtId="0" fontId="18" fillId="2" borderId="159" xfId="0" applyFont="1" applyFill="1" applyBorder="1" applyAlignment="1" applyProtection="1">
      <alignment horizontal="center" vertical="center" shrinkToFit="1"/>
    </xf>
    <xf numFmtId="0" fontId="18" fillId="2" borderId="376" xfId="0" applyFont="1" applyFill="1" applyBorder="1" applyAlignment="1" applyProtection="1">
      <alignment horizontal="center" vertical="center" shrinkToFit="1"/>
    </xf>
    <xf numFmtId="0" fontId="18" fillId="3" borderId="209" xfId="0" applyFont="1" applyFill="1" applyBorder="1" applyAlignment="1" applyProtection="1">
      <alignment horizontal="center" vertical="center" shrinkToFit="1"/>
    </xf>
    <xf numFmtId="0" fontId="18" fillId="2" borderId="433" xfId="0" applyFont="1" applyFill="1" applyBorder="1" applyAlignment="1" applyProtection="1">
      <alignment horizontal="center" vertical="center" shrinkToFit="1"/>
    </xf>
    <xf numFmtId="0" fontId="18" fillId="2" borderId="434" xfId="0" applyFont="1" applyFill="1" applyBorder="1" applyAlignment="1" applyProtection="1">
      <alignment horizontal="center" vertical="center" shrinkToFit="1"/>
    </xf>
    <xf numFmtId="0" fontId="18" fillId="2" borderId="435" xfId="0" applyFont="1" applyFill="1" applyBorder="1" applyAlignment="1" applyProtection="1">
      <alignment horizontal="center" vertical="center" shrinkToFit="1"/>
    </xf>
    <xf numFmtId="0" fontId="18" fillId="2" borderId="248" xfId="0" applyFont="1" applyFill="1" applyBorder="1" applyAlignment="1" applyProtection="1">
      <alignment horizontal="center" vertical="center" shrinkToFit="1"/>
    </xf>
    <xf numFmtId="0" fontId="18" fillId="2" borderId="380" xfId="0" applyFont="1" applyFill="1" applyBorder="1" applyAlignment="1" applyProtection="1">
      <alignment horizontal="center" vertical="center" shrinkToFit="1"/>
    </xf>
    <xf numFmtId="0" fontId="18" fillId="2" borderId="250" xfId="0" applyFont="1" applyFill="1" applyBorder="1" applyAlignment="1" applyProtection="1">
      <alignment horizontal="center" vertical="center" shrinkToFit="1"/>
    </xf>
    <xf numFmtId="0" fontId="18" fillId="2" borderId="331" xfId="0" applyFont="1" applyFill="1" applyBorder="1" applyAlignment="1" applyProtection="1">
      <alignment horizontal="center" vertical="center" shrinkToFit="1"/>
    </xf>
    <xf numFmtId="2" fontId="18" fillId="2" borderId="197" xfId="0" applyNumberFormat="1" applyFont="1" applyFill="1" applyBorder="1" applyAlignment="1" applyProtection="1">
      <alignment horizontal="center" vertical="center"/>
    </xf>
    <xf numFmtId="0" fontId="9" fillId="3" borderId="71" xfId="1" applyFont="1" applyFill="1" applyBorder="1" applyAlignment="1" applyProtection="1">
      <alignment horizontal="center" vertical="center" wrapText="1" shrinkToFit="1"/>
    </xf>
    <xf numFmtId="0" fontId="18" fillId="2" borderId="126" xfId="0" applyFont="1" applyFill="1" applyBorder="1" applyAlignment="1" applyProtection="1">
      <alignment horizontal="center" vertical="center" shrinkToFit="1"/>
    </xf>
    <xf numFmtId="0" fontId="18" fillId="2" borderId="346" xfId="0" applyFont="1" applyFill="1" applyBorder="1" applyAlignment="1" applyProtection="1">
      <alignment horizontal="center" vertical="center" shrinkToFit="1"/>
    </xf>
    <xf numFmtId="0" fontId="18" fillId="2" borderId="280" xfId="0" applyFont="1" applyFill="1" applyBorder="1" applyAlignment="1" applyProtection="1">
      <alignment horizontal="center" vertical="center" shrinkToFit="1"/>
    </xf>
    <xf numFmtId="0" fontId="18" fillId="2" borderId="118" xfId="0" applyFont="1" applyFill="1" applyBorder="1" applyAlignment="1" applyProtection="1">
      <alignment horizontal="center" vertical="center"/>
    </xf>
    <xf numFmtId="0" fontId="18" fillId="2" borderId="197" xfId="0" applyFont="1" applyFill="1" applyBorder="1" applyAlignment="1" applyProtection="1">
      <alignment horizontal="center" vertical="center" shrinkToFit="1"/>
    </xf>
    <xf numFmtId="0" fontId="18" fillId="2" borderId="225" xfId="0" applyFont="1" applyFill="1" applyBorder="1" applyAlignment="1" applyProtection="1">
      <alignment horizontal="center" vertical="center" shrinkToFit="1"/>
    </xf>
    <xf numFmtId="0" fontId="18" fillId="2" borderId="279" xfId="0" applyFont="1" applyFill="1" applyBorder="1" applyAlignment="1" applyProtection="1">
      <alignment horizontal="center" vertical="center" shrinkToFit="1"/>
    </xf>
    <xf numFmtId="0" fontId="18" fillId="2" borderId="221" xfId="0" applyFont="1" applyFill="1" applyBorder="1" applyAlignment="1" applyProtection="1">
      <alignment horizontal="center" vertical="center" shrinkToFit="1"/>
    </xf>
    <xf numFmtId="0" fontId="9" fillId="0" borderId="3" xfId="0" applyFont="1" applyFill="1" applyBorder="1" applyAlignment="1" applyProtection="1">
      <alignment horizontal="center" vertical="center" shrinkToFit="1"/>
    </xf>
    <xf numFmtId="0" fontId="24" fillId="2" borderId="27" xfId="0" applyFont="1" applyFill="1" applyBorder="1" applyAlignment="1" applyProtection="1">
      <alignment horizontal="center" vertical="center" shrinkToFit="1"/>
    </xf>
    <xf numFmtId="0" fontId="24" fillId="2" borderId="11" xfId="0" applyFont="1" applyFill="1" applyBorder="1" applyAlignment="1" applyProtection="1">
      <alignment horizontal="center" vertical="center" shrinkToFit="1"/>
    </xf>
    <xf numFmtId="0" fontId="24" fillId="2" borderId="1" xfId="0" applyFont="1" applyFill="1" applyBorder="1" applyAlignment="1" applyProtection="1">
      <alignment horizontal="center" vertical="center" shrinkToFit="1"/>
    </xf>
    <xf numFmtId="0" fontId="36" fillId="2" borderId="0" xfId="0" applyFont="1" applyFill="1" applyProtection="1">
      <alignment vertical="center"/>
    </xf>
    <xf numFmtId="0" fontId="18" fillId="0" borderId="3" xfId="0" applyFont="1" applyBorder="1" applyAlignment="1" applyProtection="1">
      <alignment horizontal="center" vertical="center"/>
    </xf>
    <xf numFmtId="0" fontId="18" fillId="2" borderId="245" xfId="0" applyFont="1" applyFill="1" applyBorder="1" applyAlignment="1" applyProtection="1">
      <alignment horizontal="center" vertical="center"/>
    </xf>
    <xf numFmtId="0" fontId="18" fillId="2" borderId="146" xfId="0" applyFont="1" applyFill="1" applyBorder="1" applyProtection="1">
      <alignment vertical="center"/>
    </xf>
    <xf numFmtId="0" fontId="18" fillId="2" borderId="312" xfId="0" applyFont="1" applyFill="1" applyBorder="1" applyAlignment="1" applyProtection="1">
      <alignment vertical="center" shrinkToFit="1"/>
    </xf>
    <xf numFmtId="0" fontId="18" fillId="2" borderId="148" xfId="0" applyFont="1" applyFill="1" applyBorder="1" applyProtection="1">
      <alignment vertical="center"/>
    </xf>
    <xf numFmtId="0" fontId="18" fillId="2" borderId="155" xfId="0" applyFont="1" applyFill="1" applyBorder="1" applyProtection="1">
      <alignment vertical="center"/>
    </xf>
    <xf numFmtId="0" fontId="18" fillId="4" borderId="157" xfId="0" applyFont="1" applyFill="1" applyBorder="1" applyAlignment="1" applyProtection="1">
      <alignment vertical="center" shrinkToFit="1"/>
      <protection locked="0"/>
    </xf>
    <xf numFmtId="0" fontId="18" fillId="4" borderId="277" xfId="0" applyFont="1" applyFill="1" applyBorder="1" applyAlignment="1" applyProtection="1">
      <alignment vertical="center" shrinkToFit="1"/>
      <protection locked="0"/>
    </xf>
    <xf numFmtId="0" fontId="18" fillId="6" borderId="314" xfId="0" applyFont="1" applyFill="1" applyBorder="1" applyAlignment="1" applyProtection="1">
      <alignment horizontal="center" vertical="center" shrinkToFit="1"/>
      <protection locked="0"/>
    </xf>
    <xf numFmtId="0" fontId="18" fillId="4" borderId="313" xfId="0" applyFont="1" applyFill="1" applyBorder="1" applyAlignment="1" applyProtection="1">
      <alignment vertical="center" shrinkToFit="1"/>
      <protection locked="0"/>
    </xf>
    <xf numFmtId="0" fontId="18" fillId="6" borderId="315" xfId="0" applyFont="1" applyFill="1" applyBorder="1" applyAlignment="1" applyProtection="1">
      <alignment horizontal="center" vertical="center" shrinkToFit="1"/>
      <protection locked="0"/>
    </xf>
    <xf numFmtId="0" fontId="18" fillId="4" borderId="159" xfId="0" applyFont="1" applyFill="1" applyBorder="1" applyAlignment="1" applyProtection="1">
      <alignment vertical="center" shrinkToFit="1"/>
      <protection locked="0"/>
    </xf>
    <xf numFmtId="0" fontId="18" fillId="6" borderId="316" xfId="0" applyFont="1" applyFill="1" applyBorder="1" applyAlignment="1" applyProtection="1">
      <alignment horizontal="center" vertical="center" shrinkToFit="1"/>
      <protection locked="0"/>
    </xf>
    <xf numFmtId="0" fontId="18" fillId="4" borderId="280" xfId="0" applyFont="1" applyFill="1" applyBorder="1" applyAlignment="1" applyProtection="1">
      <alignment vertical="center" shrinkToFit="1"/>
      <protection locked="0"/>
    </xf>
    <xf numFmtId="0" fontId="18" fillId="4" borderId="312" xfId="0" applyFont="1" applyFill="1" applyBorder="1" applyAlignment="1" applyProtection="1">
      <alignment vertical="center" shrinkToFit="1"/>
      <protection locked="0"/>
    </xf>
    <xf numFmtId="0" fontId="52" fillId="6" borderId="9" xfId="3" applyFont="1" applyFill="1" applyBorder="1" applyAlignment="1" applyProtection="1">
      <alignment horizontal="center" vertical="center" shrinkToFit="1"/>
      <protection locked="0"/>
    </xf>
    <xf numFmtId="0" fontId="52" fillId="6" borderId="17" xfId="3" applyFont="1" applyFill="1" applyBorder="1" applyAlignment="1" applyProtection="1">
      <alignment horizontal="center" vertical="center" shrinkToFit="1"/>
      <protection locked="0"/>
    </xf>
    <xf numFmtId="0" fontId="52" fillId="4" borderId="341" xfId="3" applyFont="1" applyFill="1" applyBorder="1" applyAlignment="1" applyProtection="1">
      <alignment horizontal="center" vertical="center" shrinkToFit="1"/>
      <protection locked="0"/>
    </xf>
    <xf numFmtId="0" fontId="52" fillId="4" borderId="315" xfId="3" applyFont="1" applyFill="1" applyBorder="1" applyAlignment="1" applyProtection="1">
      <alignment horizontal="center" vertical="center" shrinkToFit="1"/>
      <protection locked="0"/>
    </xf>
    <xf numFmtId="0" fontId="52" fillId="4" borderId="338" xfId="3" applyFont="1" applyFill="1" applyBorder="1" applyAlignment="1" applyProtection="1">
      <alignment horizontal="center" vertical="center" shrinkToFit="1"/>
      <protection locked="0"/>
    </xf>
    <xf numFmtId="178" fontId="9" fillId="2" borderId="11" xfId="3" applyNumberFormat="1" applyFont="1" applyFill="1" applyBorder="1" applyAlignment="1" applyProtection="1">
      <alignment vertical="center" shrinkToFit="1"/>
    </xf>
    <xf numFmtId="2" fontId="40" fillId="2" borderId="442" xfId="0" applyNumberFormat="1" applyFont="1" applyFill="1" applyBorder="1" applyAlignment="1" applyProtection="1">
      <alignment horizontal="right" vertical="center"/>
    </xf>
    <xf numFmtId="2" fontId="40" fillId="2" borderId="444" xfId="0" applyNumberFormat="1" applyFont="1" applyFill="1" applyBorder="1" applyAlignment="1" applyProtection="1">
      <alignment horizontal="right" vertical="center"/>
    </xf>
    <xf numFmtId="2" fontId="40" fillId="2" borderId="446" xfId="0" applyNumberFormat="1" applyFont="1" applyFill="1" applyBorder="1" applyAlignment="1" applyProtection="1">
      <alignment horizontal="right" vertical="center"/>
    </xf>
    <xf numFmtId="2" fontId="40" fillId="2" borderId="0" xfId="0" applyNumberFormat="1" applyFont="1" applyFill="1" applyBorder="1" applyAlignment="1" applyProtection="1">
      <alignment horizontal="right" vertical="center"/>
    </xf>
    <xf numFmtId="0" fontId="18" fillId="0" borderId="51" xfId="0" applyFont="1" applyBorder="1" applyAlignment="1" applyProtection="1">
      <alignment vertical="center" shrinkToFit="1"/>
    </xf>
    <xf numFmtId="0" fontId="18" fillId="0" borderId="71" xfId="0" applyFont="1" applyBorder="1" applyAlignment="1" applyProtection="1">
      <alignment vertical="center" shrinkToFit="1"/>
    </xf>
    <xf numFmtId="0" fontId="18" fillId="0" borderId="53" xfId="0" applyFont="1" applyBorder="1" applyAlignment="1" applyProtection="1">
      <alignment vertical="center" shrinkToFit="1"/>
    </xf>
    <xf numFmtId="0" fontId="18" fillId="0" borderId="415" xfId="0" applyFont="1" applyBorder="1" applyAlignment="1" applyProtection="1">
      <alignment vertical="center" shrinkToFit="1"/>
    </xf>
    <xf numFmtId="0" fontId="18" fillId="0" borderId="37" xfId="0" applyFont="1" applyBorder="1" applyAlignment="1" applyProtection="1">
      <alignment vertical="center" shrinkToFit="1"/>
    </xf>
    <xf numFmtId="0" fontId="9" fillId="2" borderId="282" xfId="3" applyFont="1" applyFill="1" applyBorder="1" applyAlignment="1" applyProtection="1">
      <alignment horizontal="center" vertical="center" shrinkToFit="1"/>
    </xf>
    <xf numFmtId="0" fontId="9" fillId="2" borderId="284" xfId="3" applyFont="1" applyFill="1" applyBorder="1" applyAlignment="1" applyProtection="1">
      <alignment horizontal="center" vertical="center" shrinkToFit="1"/>
    </xf>
    <xf numFmtId="0" fontId="9" fillId="2" borderId="157" xfId="3" applyFont="1" applyFill="1" applyBorder="1" applyAlignment="1" applyProtection="1">
      <alignment horizontal="center" vertical="center" shrinkToFit="1"/>
    </xf>
    <xf numFmtId="0" fontId="9" fillId="2" borderId="225" xfId="3" applyFont="1" applyFill="1" applyBorder="1" applyAlignment="1" applyProtection="1">
      <alignment horizontal="center" vertical="center" shrinkToFit="1"/>
    </xf>
    <xf numFmtId="0" fontId="9" fillId="2" borderId="277" xfId="3" applyFont="1" applyFill="1" applyBorder="1" applyAlignment="1" applyProtection="1">
      <alignment horizontal="center" vertical="center" shrinkToFit="1"/>
    </xf>
    <xf numFmtId="0" fontId="9" fillId="2" borderId="279" xfId="3" applyFont="1" applyFill="1" applyBorder="1" applyAlignment="1" applyProtection="1">
      <alignment horizontal="center" vertical="center" shrinkToFit="1"/>
    </xf>
    <xf numFmtId="211" fontId="9" fillId="0" borderId="285" xfId="3" applyNumberFormat="1" applyFont="1" applyBorder="1" applyAlignment="1" applyProtection="1">
      <alignment horizontal="right" vertical="center" shrinkToFit="1"/>
      <protection locked="0"/>
    </xf>
    <xf numFmtId="211" fontId="9" fillId="0" borderId="159" xfId="3" applyNumberFormat="1" applyFont="1" applyBorder="1" applyAlignment="1" applyProtection="1">
      <alignment horizontal="right" vertical="center" shrinkToFit="1"/>
      <protection locked="0"/>
    </xf>
    <xf numFmtId="211" fontId="9" fillId="0" borderId="280" xfId="3" applyNumberFormat="1" applyFont="1" applyBorder="1" applyAlignment="1" applyProtection="1">
      <alignment horizontal="right" vertical="center" shrinkToFit="1"/>
      <protection locked="0"/>
    </xf>
    <xf numFmtId="0" fontId="34" fillId="2" borderId="0" xfId="1" applyFont="1" applyFill="1" applyAlignment="1" applyProtection="1">
      <alignment vertical="center"/>
    </xf>
    <xf numFmtId="0" fontId="4" fillId="2" borderId="0" xfId="1" applyFont="1" applyFill="1" applyAlignment="1" applyProtection="1">
      <alignment vertical="center"/>
    </xf>
    <xf numFmtId="0" fontId="4" fillId="0" borderId="0" xfId="1" applyFont="1" applyAlignment="1" applyProtection="1">
      <alignment vertical="center"/>
    </xf>
    <xf numFmtId="0" fontId="8" fillId="2" borderId="0" xfId="1" applyFont="1" applyFill="1" applyAlignment="1" applyProtection="1">
      <alignment vertical="center"/>
    </xf>
    <xf numFmtId="0" fontId="4" fillId="2" borderId="0" xfId="1" applyFont="1" applyFill="1" applyBorder="1" applyAlignment="1" applyProtection="1">
      <alignment vertical="center" shrinkToFit="1"/>
    </xf>
    <xf numFmtId="0" fontId="34" fillId="2" borderId="0" xfId="1" applyFont="1" applyFill="1" applyBorder="1" applyAlignment="1" applyProtection="1">
      <alignment vertical="center"/>
    </xf>
    <xf numFmtId="0" fontId="34" fillId="2" borderId="0" xfId="1" applyFont="1" applyFill="1" applyBorder="1" applyAlignment="1" applyProtection="1">
      <alignment horizontal="right" vertical="center"/>
    </xf>
    <xf numFmtId="0" fontId="4" fillId="2" borderId="0" xfId="1" applyFont="1" applyFill="1" applyBorder="1" applyAlignment="1" applyProtection="1">
      <alignment horizontal="center" vertical="center"/>
    </xf>
    <xf numFmtId="0" fontId="34" fillId="2" borderId="42" xfId="1" applyFont="1" applyFill="1" applyBorder="1" applyAlignment="1" applyProtection="1">
      <alignment horizontal="center" vertical="center"/>
    </xf>
    <xf numFmtId="0" fontId="34" fillId="2" borderId="2" xfId="1" applyFont="1" applyFill="1" applyBorder="1" applyAlignment="1" applyProtection="1">
      <alignment horizontal="center" vertical="center"/>
    </xf>
    <xf numFmtId="0" fontId="34" fillId="2" borderId="25" xfId="1" applyFont="1" applyFill="1" applyBorder="1" applyAlignment="1" applyProtection="1">
      <alignment horizontal="center" vertical="center"/>
    </xf>
    <xf numFmtId="0" fontId="34" fillId="2" borderId="43" xfId="1" applyFont="1" applyFill="1" applyBorder="1" applyAlignment="1" applyProtection="1">
      <alignment horizontal="center" vertical="center"/>
    </xf>
    <xf numFmtId="0" fontId="4" fillId="0" borderId="0" xfId="1" applyFont="1" applyAlignment="1" applyProtection="1">
      <alignment horizontal="center" vertical="center"/>
    </xf>
    <xf numFmtId="0" fontId="4" fillId="0" borderId="0" xfId="1" applyFont="1" applyBorder="1" applyAlignment="1" applyProtection="1">
      <alignment horizontal="center" vertical="center"/>
    </xf>
    <xf numFmtId="198" fontId="9" fillId="4" borderId="3" xfId="1" applyNumberFormat="1" applyFont="1" applyFill="1" applyBorder="1" applyAlignment="1" applyProtection="1">
      <alignment horizontal="right" vertical="center" shrinkToFit="1"/>
      <protection locked="0"/>
    </xf>
    <xf numFmtId="187" fontId="9" fillId="4" borderId="3" xfId="1" applyNumberFormat="1" applyFont="1" applyFill="1" applyBorder="1" applyAlignment="1" applyProtection="1">
      <alignment horizontal="right" vertical="center" shrinkToFit="1"/>
      <protection locked="0"/>
    </xf>
    <xf numFmtId="0" fontId="18" fillId="4" borderId="369" xfId="0" applyFont="1" applyFill="1" applyBorder="1" applyAlignment="1" applyProtection="1">
      <alignment horizontal="center" vertical="center" shrinkToFit="1"/>
      <protection locked="0"/>
    </xf>
    <xf numFmtId="0" fontId="18" fillId="4" borderId="474" xfId="0" applyFont="1" applyFill="1" applyBorder="1" applyAlignment="1" applyProtection="1">
      <alignment horizontal="center" vertical="center" shrinkToFit="1"/>
      <protection locked="0"/>
    </xf>
    <xf numFmtId="0" fontId="18" fillId="4" borderId="456" xfId="0" applyFont="1" applyFill="1" applyBorder="1" applyAlignment="1" applyProtection="1">
      <alignment horizontal="center" vertical="center" shrinkToFit="1"/>
      <protection locked="0"/>
    </xf>
    <xf numFmtId="0" fontId="18" fillId="4" borderId="467" xfId="0" applyFont="1" applyFill="1" applyBorder="1" applyAlignment="1" applyProtection="1">
      <alignment horizontal="center" vertical="center" shrinkToFit="1"/>
      <protection locked="0"/>
    </xf>
    <xf numFmtId="0" fontId="18" fillId="4" borderId="475" xfId="0" applyFont="1" applyFill="1" applyBorder="1" applyAlignment="1" applyProtection="1">
      <alignment horizontal="center" vertical="center" shrinkToFit="1"/>
      <protection locked="0"/>
    </xf>
    <xf numFmtId="0" fontId="18" fillId="4" borderId="365" xfId="0" applyFont="1" applyFill="1" applyBorder="1" applyAlignment="1" applyProtection="1">
      <alignment horizontal="center" vertical="center" shrinkToFit="1"/>
      <protection locked="0"/>
    </xf>
    <xf numFmtId="0" fontId="18" fillId="4" borderId="446" xfId="0" applyFont="1" applyFill="1" applyBorder="1" applyAlignment="1" applyProtection="1">
      <alignment horizontal="center" vertical="center" shrinkToFit="1"/>
      <protection locked="0"/>
    </xf>
    <xf numFmtId="0" fontId="9" fillId="0" borderId="3" xfId="3" applyFont="1" applyBorder="1" applyAlignment="1" applyProtection="1">
      <alignment horizontal="center" vertical="center" shrinkToFit="1"/>
    </xf>
    <xf numFmtId="0" fontId="18" fillId="0" borderId="3" xfId="0" applyFont="1" applyFill="1" applyBorder="1" applyAlignment="1" applyProtection="1">
      <alignment horizontal="center" vertical="center" shrinkToFit="1"/>
    </xf>
    <xf numFmtId="0" fontId="18" fillId="3" borderId="28" xfId="0" applyFont="1" applyFill="1" applyBorder="1" applyAlignment="1" applyProtection="1">
      <alignment vertical="center"/>
    </xf>
    <xf numFmtId="2" fontId="18" fillId="12" borderId="318" xfId="0" applyNumberFormat="1" applyFont="1" applyFill="1" applyBorder="1" applyAlignment="1" applyProtection="1">
      <alignment horizontal="center" vertical="center"/>
    </xf>
    <xf numFmtId="2" fontId="18" fillId="2" borderId="324" xfId="0" applyNumberFormat="1" applyFont="1" applyFill="1" applyBorder="1" applyAlignment="1" applyProtection="1">
      <alignment horizontal="center" vertical="center"/>
    </xf>
    <xf numFmtId="2" fontId="18" fillId="12" borderId="327" xfId="0" applyNumberFormat="1" applyFont="1" applyFill="1" applyBorder="1" applyAlignment="1" applyProtection="1">
      <alignment horizontal="center" vertical="center"/>
    </xf>
    <xf numFmtId="49" fontId="20" fillId="0" borderId="20" xfId="9" applyNumberFormat="1" applyFont="1" applyFill="1" applyBorder="1" applyAlignment="1" applyProtection="1">
      <alignment vertical="center" shrinkToFit="1"/>
    </xf>
    <xf numFmtId="0" fontId="45" fillId="0" borderId="104" xfId="0" applyFont="1" applyBorder="1" applyAlignment="1" applyProtection="1">
      <alignment horizontal="center" vertical="center"/>
    </xf>
    <xf numFmtId="0" fontId="18" fillId="0" borderId="3" xfId="0" applyFont="1" applyFill="1" applyBorder="1" applyAlignment="1" applyProtection="1">
      <alignment horizontal="center" vertical="center" shrinkToFit="1"/>
    </xf>
    <xf numFmtId="215" fontId="18" fillId="2" borderId="228" xfId="4" applyNumberFormat="1" applyFont="1" applyFill="1" applyBorder="1" applyAlignment="1" applyProtection="1">
      <alignment horizontal="right" vertical="center" shrinkToFit="1"/>
    </xf>
    <xf numFmtId="38" fontId="49" fillId="2" borderId="441" xfId="4" applyFont="1" applyFill="1" applyBorder="1" applyAlignment="1" applyProtection="1">
      <alignment horizontal="right" vertical="center" shrinkToFit="1"/>
    </xf>
    <xf numFmtId="38" fontId="49" fillId="2" borderId="443" xfId="4" applyFont="1" applyFill="1" applyBorder="1" applyAlignment="1" applyProtection="1">
      <alignment horizontal="right" vertical="center" shrinkToFit="1"/>
    </xf>
    <xf numFmtId="38" fontId="49" fillId="2" borderId="445" xfId="4" applyFont="1" applyFill="1" applyBorder="1" applyAlignment="1" applyProtection="1">
      <alignment horizontal="right" vertical="center" shrinkToFit="1"/>
    </xf>
    <xf numFmtId="0" fontId="20" fillId="0" borderId="400" xfId="0" applyFont="1" applyFill="1" applyBorder="1" applyAlignment="1" applyProtection="1">
      <alignment horizontal="center" vertical="center" shrinkToFit="1"/>
    </xf>
    <xf numFmtId="0" fontId="18" fillId="0" borderId="400" xfId="0" applyFont="1" applyFill="1" applyBorder="1" applyAlignment="1" applyProtection="1">
      <alignment horizontal="center" vertical="center" shrinkToFit="1"/>
    </xf>
    <xf numFmtId="0" fontId="18" fillId="0" borderId="469" xfId="0" applyFont="1" applyFill="1" applyBorder="1" applyAlignment="1" applyProtection="1">
      <alignment horizontal="center" vertical="center" shrinkToFit="1"/>
      <protection locked="0"/>
    </xf>
    <xf numFmtId="0" fontId="24" fillId="0" borderId="3" xfId="0" applyFont="1" applyBorder="1" applyAlignment="1" applyProtection="1">
      <alignment horizontal="left" vertical="center" wrapText="1" shrinkToFit="1"/>
    </xf>
    <xf numFmtId="2" fontId="18" fillId="4" borderId="172" xfId="0" applyNumberFormat="1" applyFont="1" applyFill="1" applyBorder="1" applyAlignment="1" applyProtection="1">
      <alignment horizontal="center" vertical="center"/>
    </xf>
    <xf numFmtId="2" fontId="18" fillId="4" borderId="318" xfId="0" applyNumberFormat="1" applyFont="1" applyFill="1" applyBorder="1" applyAlignment="1" applyProtection="1">
      <alignment horizontal="center" vertical="center"/>
    </xf>
    <xf numFmtId="2" fontId="18" fillId="4" borderId="197" xfId="0" applyNumberFormat="1" applyFont="1" applyFill="1" applyBorder="1" applyAlignment="1" applyProtection="1">
      <alignment horizontal="center" vertical="center"/>
    </xf>
    <xf numFmtId="2" fontId="18" fillId="4" borderId="272" xfId="0" applyNumberFormat="1" applyFont="1" applyFill="1" applyBorder="1" applyAlignment="1" applyProtection="1">
      <alignment horizontal="center" vertical="center"/>
    </xf>
    <xf numFmtId="2" fontId="18" fillId="4" borderId="323" xfId="0" applyNumberFormat="1" applyFont="1" applyFill="1" applyBorder="1" applyAlignment="1" applyProtection="1">
      <alignment horizontal="center" vertical="center"/>
    </xf>
    <xf numFmtId="2" fontId="18" fillId="4" borderId="324" xfId="0" applyNumberFormat="1" applyFont="1" applyFill="1" applyBorder="1" applyAlignment="1" applyProtection="1">
      <alignment horizontal="center" vertical="center"/>
    </xf>
    <xf numFmtId="2" fontId="18" fillId="4" borderId="326" xfId="0" applyNumberFormat="1" applyFont="1" applyFill="1" applyBorder="1" applyAlignment="1" applyProtection="1">
      <alignment horizontal="center" vertical="center"/>
    </xf>
    <xf numFmtId="2" fontId="18" fillId="4" borderId="327" xfId="0" applyNumberFormat="1" applyFont="1" applyFill="1" applyBorder="1" applyAlignment="1" applyProtection="1">
      <alignment horizontal="center" vertical="center"/>
    </xf>
    <xf numFmtId="0" fontId="24" fillId="2" borderId="17" xfId="0" applyFont="1" applyFill="1" applyBorder="1" applyAlignment="1" applyProtection="1">
      <alignment horizontal="center" vertical="center"/>
    </xf>
    <xf numFmtId="0" fontId="68" fillId="0" borderId="3" xfId="0" applyFont="1" applyBorder="1" applyAlignment="1" applyProtection="1">
      <alignment horizontal="left" vertical="center" wrapText="1" shrinkToFit="1"/>
    </xf>
    <xf numFmtId="0" fontId="18" fillId="0" borderId="3" xfId="0" applyFont="1" applyFill="1" applyBorder="1" applyAlignment="1" applyProtection="1">
      <alignment vertical="center"/>
    </xf>
    <xf numFmtId="196" fontId="70" fillId="11" borderId="128" xfId="3" applyNumberFormat="1" applyFont="1" applyFill="1" applyBorder="1" applyAlignment="1" applyProtection="1">
      <alignment horizontal="left" shrinkToFit="1"/>
      <protection locked="0"/>
    </xf>
    <xf numFmtId="196" fontId="70" fillId="11" borderId="127" xfId="3" applyNumberFormat="1" applyFont="1" applyFill="1" applyBorder="1" applyAlignment="1" applyProtection="1">
      <alignment horizontal="left" shrinkToFit="1"/>
      <protection locked="0"/>
    </xf>
    <xf numFmtId="0" fontId="71" fillId="0" borderId="0" xfId="10" applyProtection="1"/>
    <xf numFmtId="0" fontId="40" fillId="0" borderId="0" xfId="10" applyFont="1" applyFill="1" applyBorder="1" applyAlignment="1" applyProtection="1">
      <alignment horizontal="left" vertical="center"/>
    </xf>
    <xf numFmtId="0" fontId="72" fillId="0" borderId="0" xfId="7" applyFont="1" applyProtection="1">
      <alignment vertical="center"/>
    </xf>
    <xf numFmtId="0" fontId="71" fillId="0" borderId="0" xfId="10"/>
    <xf numFmtId="0" fontId="37" fillId="0" borderId="0" xfId="10" applyFont="1" applyAlignment="1" applyProtection="1">
      <alignment horizontal="left"/>
    </xf>
    <xf numFmtId="0" fontId="37" fillId="0" borderId="0" xfId="10" applyFont="1" applyAlignment="1" applyProtection="1">
      <alignment horizontal="center"/>
    </xf>
    <xf numFmtId="0" fontId="44" fillId="4" borderId="3" xfId="10" applyFont="1" applyFill="1" applyBorder="1" applyAlignment="1">
      <alignment horizontal="center" vertical="center"/>
    </xf>
    <xf numFmtId="0" fontId="49" fillId="0" borderId="0" xfId="10" applyFont="1" applyAlignment="1">
      <alignment vertical="center"/>
    </xf>
    <xf numFmtId="0" fontId="44" fillId="6" borderId="3" xfId="10" applyFont="1" applyFill="1" applyBorder="1" applyAlignment="1">
      <alignment horizontal="center" vertical="center"/>
    </xf>
    <xf numFmtId="0" fontId="44" fillId="5" borderId="3" xfId="10" applyFont="1" applyFill="1" applyBorder="1" applyAlignment="1">
      <alignment horizontal="center" vertical="center"/>
    </xf>
    <xf numFmtId="0" fontId="44" fillId="0" borderId="3" xfId="10" applyFont="1" applyBorder="1" applyAlignment="1">
      <alignment horizontal="center" vertical="center"/>
    </xf>
    <xf numFmtId="0" fontId="73" fillId="0" borderId="0" xfId="10" applyFont="1" applyProtection="1"/>
    <xf numFmtId="0" fontId="35" fillId="0" borderId="0" xfId="7" applyFont="1" applyProtection="1">
      <alignment vertical="center"/>
    </xf>
    <xf numFmtId="0" fontId="11" fillId="0" borderId="0" xfId="7" applyFont="1" applyAlignment="1" applyProtection="1">
      <alignment horizontal="center" vertical="center"/>
    </xf>
    <xf numFmtId="0" fontId="75" fillId="0" borderId="42" xfId="10" applyFont="1" applyFill="1" applyBorder="1" applyAlignment="1" applyProtection="1">
      <alignment horizontal="center" vertical="center"/>
    </xf>
    <xf numFmtId="0" fontId="77" fillId="0" borderId="43" xfId="11" applyFont="1" applyBorder="1" applyAlignment="1" applyProtection="1">
      <alignment horizontal="center" vertical="center"/>
    </xf>
    <xf numFmtId="0" fontId="78" fillId="0" borderId="6" xfId="10" applyFont="1" applyFill="1" applyBorder="1" applyAlignment="1" applyProtection="1">
      <alignment horizontal="center" vertical="center"/>
    </xf>
    <xf numFmtId="0" fontId="72" fillId="0" borderId="58" xfId="7" applyFont="1" applyBorder="1" applyAlignment="1" applyProtection="1">
      <alignment horizontal="center" vertical="center"/>
    </xf>
    <xf numFmtId="0" fontId="79" fillId="0" borderId="0" xfId="7" applyFont="1" applyProtection="1">
      <alignment vertical="center"/>
    </xf>
    <xf numFmtId="0" fontId="78" fillId="0" borderId="51" xfId="10" applyFont="1" applyFill="1" applyBorder="1" applyAlignment="1" applyProtection="1">
      <alignment horizontal="center" vertical="center"/>
    </xf>
    <xf numFmtId="0" fontId="72" fillId="0" borderId="59" xfId="7" applyFont="1" applyBorder="1" applyAlignment="1" applyProtection="1">
      <alignment horizontal="center" vertical="center"/>
    </xf>
    <xf numFmtId="0" fontId="72" fillId="0" borderId="10" xfId="7" applyFont="1" applyBorder="1" applyAlignment="1" applyProtection="1">
      <alignment horizontal="left" vertical="center" indent="1"/>
    </xf>
    <xf numFmtId="0" fontId="72" fillId="0" borderId="28" xfId="7" applyFont="1" applyBorder="1" applyProtection="1">
      <alignment vertical="center"/>
    </xf>
    <xf numFmtId="0" fontId="72" fillId="0" borderId="34" xfId="7" applyFont="1" applyBorder="1" applyAlignment="1" applyProtection="1">
      <alignment horizontal="left" vertical="center" indent="1"/>
    </xf>
    <xf numFmtId="0" fontId="72" fillId="0" borderId="32" xfId="7" applyFont="1" applyBorder="1" applyProtection="1">
      <alignment vertical="center"/>
    </xf>
    <xf numFmtId="0" fontId="72" fillId="0" borderId="35" xfId="7" applyFont="1" applyBorder="1" applyAlignment="1" applyProtection="1">
      <alignment horizontal="left" vertical="center" indent="1"/>
    </xf>
    <xf numFmtId="0" fontId="72" fillId="0" borderId="37" xfId="7" applyFont="1" applyBorder="1" applyAlignment="1" applyProtection="1">
      <alignment vertical="center" wrapText="1"/>
    </xf>
    <xf numFmtId="0" fontId="73" fillId="0" borderId="0" xfId="12" applyFont="1" applyProtection="1"/>
    <xf numFmtId="0" fontId="72" fillId="0" borderId="0" xfId="13" applyFont="1" applyProtection="1">
      <alignment vertical="center"/>
    </xf>
    <xf numFmtId="0" fontId="81" fillId="0" borderId="0" xfId="14"/>
    <xf numFmtId="0" fontId="82" fillId="0" borderId="42" xfId="12" applyFont="1" applyFill="1" applyBorder="1" applyAlignment="1" applyProtection="1">
      <alignment horizontal="center" vertical="center"/>
    </xf>
    <xf numFmtId="0" fontId="83" fillId="0" borderId="51" xfId="10" applyFont="1" applyFill="1" applyBorder="1" applyAlignment="1" applyProtection="1">
      <alignment horizontal="center" vertical="center"/>
    </xf>
    <xf numFmtId="0" fontId="71" fillId="0" borderId="0" xfId="10" applyFill="1" applyBorder="1" applyAlignment="1" applyProtection="1">
      <alignment horizontal="center" vertical="center"/>
    </xf>
    <xf numFmtId="0" fontId="84" fillId="0" borderId="0" xfId="7" applyFont="1" applyBorder="1" applyAlignment="1" applyProtection="1">
      <alignment horizontal="center" vertical="center"/>
    </xf>
    <xf numFmtId="0" fontId="5" fillId="0" borderId="498" xfId="10" applyFont="1" applyBorder="1" applyAlignment="1" applyProtection="1">
      <alignment horizontal="center" vertical="center"/>
    </xf>
    <xf numFmtId="0" fontId="85" fillId="0" borderId="501" xfId="10" applyFont="1" applyBorder="1" applyAlignment="1" applyProtection="1">
      <alignment horizontal="center" vertical="center"/>
    </xf>
    <xf numFmtId="0" fontId="85" fillId="0" borderId="19" xfId="10" applyFont="1" applyBorder="1" applyAlignment="1" applyProtection="1">
      <alignment horizontal="left" vertical="center"/>
    </xf>
    <xf numFmtId="0" fontId="85" fillId="0" borderId="108" xfId="10" applyFont="1" applyBorder="1" applyAlignment="1" applyProtection="1">
      <alignment horizontal="left" vertical="center"/>
    </xf>
    <xf numFmtId="0" fontId="85" fillId="0" borderId="20" xfId="10" applyFont="1" applyBorder="1" applyAlignment="1" applyProtection="1">
      <alignment horizontal="left" vertical="center"/>
    </xf>
    <xf numFmtId="0" fontId="85" fillId="0" borderId="32" xfId="10" applyFont="1" applyBorder="1" applyAlignment="1" applyProtection="1">
      <alignment horizontal="left" vertical="center"/>
    </xf>
    <xf numFmtId="0" fontId="71" fillId="0" borderId="0" xfId="10" applyAlignment="1">
      <alignment horizontal="left" vertical="top"/>
    </xf>
    <xf numFmtId="0" fontId="72" fillId="0" borderId="0" xfId="7" applyFont="1" applyAlignment="1" applyProtection="1">
      <alignment horizontal="left" vertical="top"/>
    </xf>
    <xf numFmtId="0" fontId="9" fillId="0" borderId="3" xfId="0" applyFont="1" applyBorder="1">
      <alignment vertical="center"/>
    </xf>
    <xf numFmtId="179" fontId="87" fillId="0" borderId="3" xfId="0" applyNumberFormat="1" applyFont="1" applyBorder="1" applyAlignment="1">
      <alignment horizontal="left" vertical="center"/>
    </xf>
    <xf numFmtId="179" fontId="32" fillId="0" borderId="3" xfId="0" applyNumberFormat="1" applyFont="1" applyBorder="1" applyAlignment="1">
      <alignment horizontal="left" vertical="center"/>
    </xf>
    <xf numFmtId="203" fontId="52" fillId="13" borderId="494" xfId="3" applyNumberFormat="1" applyFont="1" applyFill="1" applyBorder="1" applyAlignment="1" applyProtection="1">
      <alignment horizontal="center" vertical="center" shrinkToFit="1"/>
    </xf>
    <xf numFmtId="203" fontId="52" fillId="13" borderId="378" xfId="3" applyNumberFormat="1" applyFont="1" applyFill="1" applyBorder="1" applyAlignment="1" applyProtection="1">
      <alignment horizontal="center" vertical="center" shrinkToFit="1"/>
    </xf>
    <xf numFmtId="203" fontId="52" fillId="13" borderId="362" xfId="3" applyNumberFormat="1" applyFont="1" applyFill="1" applyBorder="1" applyAlignment="1" applyProtection="1">
      <alignment horizontal="center" vertical="center" shrinkToFit="1"/>
    </xf>
    <xf numFmtId="0" fontId="13" fillId="0" borderId="18" xfId="0" applyFont="1" applyBorder="1" applyAlignment="1">
      <alignment horizontal="center" vertical="center"/>
    </xf>
    <xf numFmtId="0" fontId="90" fillId="0" borderId="0" xfId="11" applyFont="1" applyBorder="1" applyAlignment="1" applyProtection="1">
      <alignment horizontal="center" vertical="center"/>
    </xf>
    <xf numFmtId="0" fontId="89" fillId="14" borderId="28" xfId="11" applyFont="1" applyFill="1" applyBorder="1" applyAlignment="1" applyProtection="1">
      <alignment horizontal="center" vertical="center"/>
    </xf>
    <xf numFmtId="0" fontId="89" fillId="14" borderId="43" xfId="11" applyFont="1" applyFill="1" applyBorder="1" applyAlignment="1" applyProtection="1">
      <alignment horizontal="center" vertical="center"/>
    </xf>
    <xf numFmtId="0" fontId="0" fillId="0" borderId="3" xfId="0" applyBorder="1" applyAlignment="1" applyProtection="1">
      <alignment horizontal="left" vertical="center"/>
    </xf>
    <xf numFmtId="0" fontId="88" fillId="0" borderId="42" xfId="12" applyFont="1" applyBorder="1" applyAlignment="1" applyProtection="1">
      <alignment horizontal="center" vertical="center"/>
    </xf>
    <xf numFmtId="0" fontId="0" fillId="0" borderId="6" xfId="0" applyBorder="1" applyAlignment="1" applyProtection="1">
      <alignment horizontal="center" vertical="center"/>
    </xf>
    <xf numFmtId="0" fontId="84" fillId="14" borderId="58" xfId="7" applyFont="1" applyFill="1" applyBorder="1" applyAlignment="1" applyProtection="1">
      <alignment horizontal="center" vertical="center" shrinkToFit="1"/>
    </xf>
    <xf numFmtId="0" fontId="0" fillId="0" borderId="0" xfId="0" applyAlignment="1" applyProtection="1">
      <alignment horizontal="center" vertical="center"/>
    </xf>
    <xf numFmtId="0" fontId="29" fillId="0" borderId="0" xfId="12" applyFont="1" applyAlignment="1" applyProtection="1">
      <alignment horizontal="left" vertical="center"/>
    </xf>
    <xf numFmtId="0" fontId="73" fillId="0" borderId="0" xfId="0" applyFont="1" applyAlignment="1" applyProtection="1"/>
    <xf numFmtId="0" fontId="0" fillId="0" borderId="0" xfId="0" applyAlignment="1" applyProtection="1"/>
    <xf numFmtId="0" fontId="35" fillId="0" borderId="0" xfId="7" applyFont="1" applyAlignment="1" applyProtection="1"/>
    <xf numFmtId="0" fontId="91" fillId="0" borderId="0" xfId="7" applyFont="1" applyAlignment="1" applyProtection="1">
      <alignment horizontal="center" vertical="center"/>
    </xf>
    <xf numFmtId="0" fontId="90" fillId="0" borderId="42" xfId="0" applyFont="1" applyBorder="1" applyAlignment="1" applyProtection="1">
      <alignment horizontal="center" vertical="center"/>
    </xf>
    <xf numFmtId="0" fontId="72" fillId="14" borderId="58" xfId="7" applyFont="1" applyFill="1" applyBorder="1" applyAlignment="1" applyProtection="1">
      <alignment horizontal="center" vertical="center" shrinkToFit="1"/>
    </xf>
    <xf numFmtId="0" fontId="0" fillId="0" borderId="47" xfId="0" applyBorder="1" applyAlignment="1" applyProtection="1">
      <alignment horizontal="center" vertical="center"/>
    </xf>
    <xf numFmtId="0" fontId="35" fillId="14" borderId="45" xfId="7" applyFont="1" applyFill="1" applyBorder="1" applyAlignment="1" applyProtection="1">
      <alignment horizontal="center" vertical="center" shrinkToFit="1"/>
    </xf>
    <xf numFmtId="0" fontId="0" fillId="0" borderId="51" xfId="0" applyBorder="1" applyAlignment="1" applyProtection="1">
      <alignment horizontal="center" vertical="center"/>
    </xf>
    <xf numFmtId="0" fontId="72" fillId="14" borderId="59" xfId="7" applyFont="1" applyFill="1" applyBorder="1" applyAlignment="1" applyProtection="1">
      <alignment horizontal="center" vertical="center"/>
    </xf>
    <xf numFmtId="0" fontId="61" fillId="0" borderId="0" xfId="7" applyFont="1" applyProtection="1">
      <alignment vertical="center"/>
    </xf>
    <xf numFmtId="0" fontId="92" fillId="0" borderId="0" xfId="0" applyFont="1" applyAlignment="1" applyProtection="1">
      <alignment horizontal="left" vertical="center"/>
    </xf>
    <xf numFmtId="0" fontId="0" fillId="0" borderId="0" xfId="0" applyAlignment="1" applyProtection="1">
      <alignment horizontal="left" vertical="center" wrapText="1"/>
    </xf>
    <xf numFmtId="0" fontId="0" fillId="0" borderId="12" xfId="0" applyBorder="1" applyProtection="1">
      <alignment vertical="center"/>
    </xf>
    <xf numFmtId="0" fontId="93" fillId="0" borderId="3" xfId="0" applyFont="1" applyBorder="1" applyAlignment="1" applyProtection="1">
      <alignment horizontal="center" vertical="center"/>
    </xf>
    <xf numFmtId="0" fontId="93" fillId="0" borderId="5" xfId="0" applyFont="1" applyBorder="1" applyAlignment="1" applyProtection="1">
      <alignment horizontal="center" vertical="center"/>
    </xf>
    <xf numFmtId="0" fontId="81" fillId="14" borderId="503" xfId="0" applyFont="1" applyFill="1" applyBorder="1" applyAlignment="1" applyProtection="1">
      <alignment vertical="center" shrinkToFit="1"/>
    </xf>
    <xf numFmtId="0" fontId="68" fillId="0" borderId="0" xfId="0" applyFont="1" applyAlignment="1" applyProtection="1">
      <alignment horizontal="center" vertical="center"/>
    </xf>
    <xf numFmtId="0" fontId="81" fillId="14" borderId="504" xfId="0" applyFont="1" applyFill="1" applyBorder="1" applyAlignment="1" applyProtection="1">
      <alignment vertical="center" shrinkToFit="1"/>
    </xf>
    <xf numFmtId="0" fontId="29" fillId="2" borderId="0" xfId="0" applyFont="1" applyFill="1" applyAlignment="1" applyProtection="1">
      <alignment vertical="center" shrinkToFit="1"/>
    </xf>
    <xf numFmtId="0" fontId="81" fillId="14" borderId="505" xfId="0" applyFont="1" applyFill="1" applyBorder="1" applyAlignment="1" applyProtection="1">
      <alignment vertical="center" shrinkToFit="1"/>
    </xf>
    <xf numFmtId="0" fontId="94" fillId="0" borderId="0" xfId="0" applyFont="1" applyProtection="1">
      <alignment vertical="center"/>
    </xf>
    <xf numFmtId="0" fontId="94" fillId="2" borderId="0" xfId="0" applyFont="1" applyFill="1" applyProtection="1">
      <alignment vertical="center"/>
    </xf>
    <xf numFmtId="0" fontId="95" fillId="0" borderId="3" xfId="0" applyFont="1" applyBorder="1" applyAlignment="1" applyProtection="1">
      <alignment horizontal="left" vertical="center" wrapText="1" shrinkToFit="1"/>
    </xf>
    <xf numFmtId="0" fontId="9" fillId="0" borderId="3" xfId="0" applyFont="1" applyBorder="1" applyAlignment="1">
      <alignment horizontal="center" vertical="center"/>
    </xf>
    <xf numFmtId="0" fontId="18" fillId="2" borderId="0" xfId="0" applyFont="1" applyFill="1" applyBorder="1" applyAlignment="1" applyProtection="1">
      <alignment horizontal="center" vertical="center"/>
    </xf>
    <xf numFmtId="0" fontId="18" fillId="2" borderId="0" xfId="0" applyFont="1" applyFill="1" applyBorder="1" applyAlignment="1" applyProtection="1">
      <alignment horizontal="left" vertical="center"/>
    </xf>
    <xf numFmtId="0" fontId="19" fillId="0" borderId="397" xfId="0" applyFont="1" applyFill="1" applyBorder="1" applyAlignment="1" applyProtection="1">
      <alignment horizontal="center" vertical="center" shrinkToFit="1"/>
    </xf>
    <xf numFmtId="0" fontId="18" fillId="2" borderId="159" xfId="0" applyFont="1" applyFill="1" applyBorder="1" applyAlignment="1" applyProtection="1">
      <alignment horizontal="center" vertical="center" shrinkToFit="1"/>
    </xf>
    <xf numFmtId="0" fontId="18" fillId="2" borderId="157" xfId="0" applyFont="1" applyFill="1" applyBorder="1" applyAlignment="1" applyProtection="1">
      <alignment horizontal="center" vertical="center" shrinkToFit="1"/>
    </xf>
    <xf numFmtId="0" fontId="18" fillId="2" borderId="378" xfId="0" applyFont="1" applyFill="1" applyBorder="1" applyAlignment="1" applyProtection="1">
      <alignment horizontal="center" vertical="center" shrinkToFit="1"/>
    </xf>
    <xf numFmtId="0" fontId="9" fillId="0" borderId="3" xfId="0" applyFont="1" applyFill="1" applyBorder="1" applyAlignment="1" applyProtection="1">
      <alignment horizontal="center" vertical="center" shrinkToFit="1"/>
    </xf>
    <xf numFmtId="0" fontId="24" fillId="2" borderId="1" xfId="0" applyFont="1" applyFill="1" applyBorder="1" applyAlignment="1" applyProtection="1">
      <alignment horizontal="center" vertical="center" shrinkToFit="1"/>
    </xf>
    <xf numFmtId="0" fontId="9" fillId="2" borderId="32" xfId="0" applyFont="1" applyFill="1" applyBorder="1">
      <alignment vertical="center"/>
    </xf>
    <xf numFmtId="0" fontId="9" fillId="0" borderId="0" xfId="0" applyFont="1">
      <alignment vertical="center"/>
    </xf>
    <xf numFmtId="0" fontId="9" fillId="2" borderId="0" xfId="0" applyFont="1" applyFill="1">
      <alignment vertical="center"/>
    </xf>
    <xf numFmtId="0" fontId="24" fillId="0" borderId="0" xfId="0" applyFont="1">
      <alignment vertical="center"/>
    </xf>
    <xf numFmtId="0" fontId="24" fillId="0" borderId="0" xfId="0" applyFont="1" applyAlignment="1">
      <alignment horizontal="center" vertical="center"/>
    </xf>
    <xf numFmtId="0" fontId="9" fillId="2" borderId="0" xfId="0" applyFont="1" applyFill="1" applyBorder="1" applyAlignment="1">
      <alignment horizontal="center" vertical="center"/>
    </xf>
    <xf numFmtId="0" fontId="9" fillId="2" borderId="0" xfId="0" applyFont="1" applyFill="1" applyBorder="1" applyAlignment="1">
      <alignment horizontal="left" vertical="center" wrapText="1"/>
    </xf>
    <xf numFmtId="0" fontId="9" fillId="2" borderId="16" xfId="0" applyFont="1" applyFill="1" applyBorder="1" applyAlignment="1">
      <alignment horizontal="center" vertical="center" wrapText="1"/>
    </xf>
    <xf numFmtId="0" fontId="24" fillId="0" borderId="3" xfId="0" applyFont="1" applyBorder="1" applyAlignment="1">
      <alignment horizontal="center" vertical="center"/>
    </xf>
    <xf numFmtId="0" fontId="9" fillId="2" borderId="9" xfId="0" applyFont="1" applyFill="1" applyBorder="1" applyAlignment="1">
      <alignment horizontal="center" vertical="center" wrapText="1"/>
    </xf>
    <xf numFmtId="0" fontId="18" fillId="2" borderId="233" xfId="0" applyFont="1" applyFill="1" applyBorder="1" applyAlignment="1" applyProtection="1">
      <alignment vertical="center"/>
    </xf>
    <xf numFmtId="0" fontId="18" fillId="2" borderId="234" xfId="0" applyFont="1" applyFill="1" applyBorder="1" applyAlignment="1" applyProtection="1">
      <alignment vertical="center"/>
    </xf>
    <xf numFmtId="0" fontId="18" fillId="2" borderId="293" xfId="0" applyFont="1" applyFill="1" applyBorder="1" applyAlignment="1" applyProtection="1">
      <alignment vertical="center"/>
    </xf>
    <xf numFmtId="0" fontId="41" fillId="2" borderId="18" xfId="0" applyFont="1" applyFill="1" applyBorder="1" applyAlignment="1" applyProtection="1">
      <alignment vertical="center" wrapText="1"/>
    </xf>
    <xf numFmtId="0" fontId="41" fillId="2" borderId="216" xfId="0" applyFont="1" applyFill="1" applyBorder="1" applyAlignment="1" applyProtection="1">
      <alignment vertical="center" wrapText="1"/>
    </xf>
    <xf numFmtId="0" fontId="14" fillId="0" borderId="3" xfId="0" applyFont="1" applyBorder="1" applyAlignment="1" applyProtection="1">
      <alignment horizontal="left" vertical="center" wrapText="1" shrinkToFit="1"/>
    </xf>
    <xf numFmtId="0" fontId="96" fillId="0" borderId="0" xfId="0" applyFont="1">
      <alignment vertical="center"/>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0" fillId="0" borderId="3" xfId="0" applyBorder="1">
      <alignment vertical="center"/>
    </xf>
    <xf numFmtId="0" fontId="14" fillId="0" borderId="3" xfId="0" applyFont="1" applyBorder="1" applyAlignment="1">
      <alignment horizontal="left" vertical="center" wrapText="1" shrinkToFit="1"/>
    </xf>
    <xf numFmtId="0" fontId="24" fillId="2" borderId="0"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24" fillId="2" borderId="93" xfId="0" applyFont="1" applyFill="1" applyBorder="1" applyAlignment="1" applyProtection="1">
      <alignment vertical="top" textRotation="255" shrinkToFit="1"/>
    </xf>
    <xf numFmtId="0" fontId="24" fillId="2" borderId="511" xfId="0" applyFont="1" applyFill="1" applyBorder="1" applyAlignment="1" applyProtection="1">
      <alignment horizontal="center" vertical="center"/>
    </xf>
    <xf numFmtId="0" fontId="24" fillId="2" borderId="512" xfId="0" applyFont="1" applyFill="1" applyBorder="1" applyAlignment="1" applyProtection="1">
      <alignment horizontal="center" vertical="top" textRotation="255"/>
    </xf>
    <xf numFmtId="0" fontId="24" fillId="2" borderId="513" xfId="0" applyFont="1" applyFill="1" applyBorder="1" applyAlignment="1" applyProtection="1">
      <alignment horizontal="center" vertical="center" textRotation="255" shrinkToFit="1"/>
    </xf>
    <xf numFmtId="0" fontId="41" fillId="2" borderId="282" xfId="0" applyFont="1" applyFill="1" applyBorder="1" applyAlignment="1" applyProtection="1">
      <alignment vertical="center"/>
    </xf>
    <xf numFmtId="0" fontId="97" fillId="0" borderId="0" xfId="7" applyFont="1" applyProtection="1">
      <alignment vertical="center"/>
    </xf>
    <xf numFmtId="14" fontId="14" fillId="0" borderId="3" xfId="0" applyNumberFormat="1" applyFont="1" applyBorder="1" applyProtection="1">
      <alignment vertical="center"/>
    </xf>
    <xf numFmtId="2" fontId="14" fillId="0" borderId="3" xfId="0" applyNumberFormat="1" applyFont="1" applyBorder="1" applyAlignment="1" applyProtection="1">
      <alignment horizontal="center" vertical="center"/>
    </xf>
    <xf numFmtId="0" fontId="14" fillId="0" borderId="3" xfId="0" applyFont="1" applyBorder="1" applyAlignment="1" applyProtection="1">
      <alignment horizontal="center" vertical="center" shrinkToFit="1"/>
    </xf>
    <xf numFmtId="14" fontId="14" fillId="0" borderId="3" xfId="0" applyNumberFormat="1" applyFont="1" applyBorder="1">
      <alignment vertical="center"/>
    </xf>
    <xf numFmtId="2" fontId="14" fillId="0" borderId="3" xfId="0" applyNumberFormat="1" applyFont="1" applyBorder="1" applyAlignment="1">
      <alignment horizontal="center" vertical="center"/>
    </xf>
    <xf numFmtId="0" fontId="13" fillId="5" borderId="20" xfId="3" applyNumberFormat="1" applyFont="1" applyFill="1" applyBorder="1" applyAlignment="1" applyProtection="1">
      <alignment horizontal="center" vertical="center"/>
    </xf>
    <xf numFmtId="0" fontId="13" fillId="5" borderId="14" xfId="3" applyNumberFormat="1" applyFont="1" applyFill="1" applyBorder="1" applyAlignment="1" applyProtection="1">
      <alignment horizontal="center" vertical="center"/>
    </xf>
    <xf numFmtId="0" fontId="17" fillId="5" borderId="117" xfId="3" applyNumberFormat="1" applyFont="1" applyFill="1" applyBorder="1" applyAlignment="1" applyProtection="1">
      <alignment horizontal="center" vertical="center" shrinkToFit="1"/>
    </xf>
    <xf numFmtId="0" fontId="17" fillId="5" borderId="118" xfId="3" applyNumberFormat="1" applyFont="1" applyFill="1" applyBorder="1" applyAlignment="1" applyProtection="1">
      <alignment horizontal="center" vertical="center" shrinkToFit="1"/>
    </xf>
    <xf numFmtId="0" fontId="5" fillId="3" borderId="18" xfId="3" applyFont="1" applyFill="1" applyBorder="1" applyAlignment="1">
      <alignment horizontal="center" vertical="center"/>
    </xf>
    <xf numFmtId="0" fontId="5" fillId="3" borderId="15" xfId="3" applyFont="1" applyFill="1" applyBorder="1" applyAlignment="1">
      <alignment horizontal="center" vertical="center"/>
    </xf>
    <xf numFmtId="0" fontId="5" fillId="11" borderId="18" xfId="3" applyFont="1" applyFill="1" applyBorder="1" applyAlignment="1" applyProtection="1">
      <alignment horizontal="center" vertical="center"/>
      <protection locked="0"/>
    </xf>
    <xf numFmtId="0" fontId="5" fillId="11" borderId="15" xfId="3" applyFont="1" applyFill="1" applyBorder="1" applyAlignment="1" applyProtection="1">
      <alignment horizontal="center" vertical="center"/>
      <protection locked="0"/>
    </xf>
    <xf numFmtId="0" fontId="85" fillId="0" borderId="20" xfId="10" applyFont="1" applyBorder="1" applyAlignment="1" applyProtection="1">
      <alignment horizontal="left" vertical="center"/>
    </xf>
    <xf numFmtId="0" fontId="85" fillId="0" borderId="32" xfId="10" applyFont="1" applyBorder="1" applyAlignment="1" applyProtection="1">
      <alignment horizontal="left" vertical="center"/>
    </xf>
    <xf numFmtId="0" fontId="85" fillId="0" borderId="44" xfId="10" applyFont="1" applyBorder="1" applyAlignment="1" applyProtection="1">
      <alignment horizontal="center" vertical="center"/>
    </xf>
    <xf numFmtId="0" fontId="85" fillId="0" borderId="47" xfId="10" applyFont="1" applyBorder="1" applyAlignment="1" applyProtection="1">
      <alignment horizontal="center" vertical="center"/>
    </xf>
    <xf numFmtId="0" fontId="85" fillId="0" borderId="51" xfId="10" applyFont="1" applyBorder="1" applyAlignment="1" applyProtection="1">
      <alignment horizontal="center" vertical="center"/>
    </xf>
    <xf numFmtId="0" fontId="85" fillId="0" borderId="53" xfId="10" applyFont="1" applyBorder="1" applyAlignment="1" applyProtection="1">
      <alignment horizontal="left" vertical="top" wrapText="1"/>
    </xf>
    <xf numFmtId="0" fontId="85" fillId="0" borderId="37" xfId="10" applyFont="1" applyBorder="1" applyAlignment="1" applyProtection="1">
      <alignment horizontal="left" vertical="top"/>
    </xf>
    <xf numFmtId="0" fontId="5" fillId="0" borderId="499" xfId="10" applyFont="1" applyBorder="1" applyAlignment="1" applyProtection="1">
      <alignment horizontal="center" vertical="center"/>
    </xf>
    <xf numFmtId="0" fontId="5" fillId="0" borderId="500" xfId="10" applyFont="1" applyBorder="1" applyAlignment="1" applyProtection="1">
      <alignment horizontal="center" vertical="center"/>
    </xf>
    <xf numFmtId="0" fontId="86" fillId="0" borderId="19" xfId="10" applyFont="1" applyBorder="1" applyAlignment="1" applyProtection="1">
      <alignment horizontal="left" vertical="center" wrapText="1"/>
    </xf>
    <xf numFmtId="0" fontId="86" fillId="0" borderId="108" xfId="10" applyFont="1" applyBorder="1" applyAlignment="1" applyProtection="1">
      <alignment horizontal="left" vertical="center" wrapText="1"/>
    </xf>
    <xf numFmtId="0" fontId="85" fillId="0" borderId="6" xfId="10" applyFont="1" applyBorder="1" applyAlignment="1" applyProtection="1">
      <alignment horizontal="center" vertical="center"/>
    </xf>
    <xf numFmtId="0" fontId="85" fillId="0" borderId="18" xfId="10" applyFont="1" applyBorder="1" applyAlignment="1" applyProtection="1">
      <alignment horizontal="left" vertical="center"/>
    </xf>
    <xf numFmtId="0" fontId="85" fillId="0" borderId="502" xfId="10" applyFont="1" applyBorder="1" applyAlignment="1" applyProtection="1">
      <alignment horizontal="left" vertical="center"/>
    </xf>
    <xf numFmtId="0" fontId="0" fillId="0" borderId="5" xfId="0" applyBorder="1" applyAlignment="1" applyProtection="1">
      <alignment horizontal="center" vertical="center"/>
    </xf>
    <xf numFmtId="0" fontId="0" fillId="0" borderId="8" xfId="0" applyBorder="1" applyAlignment="1" applyProtection="1">
      <alignment horizontal="center" vertical="center"/>
    </xf>
    <xf numFmtId="0" fontId="0" fillId="0" borderId="7" xfId="0" applyBorder="1" applyAlignment="1" applyProtection="1">
      <alignment horizontal="center" vertical="center"/>
    </xf>
    <xf numFmtId="0" fontId="81" fillId="2" borderId="45" xfId="0" applyFont="1" applyFill="1" applyBorder="1" applyAlignment="1" applyProtection="1">
      <alignment horizontal="center" vertical="center" wrapText="1"/>
    </xf>
    <xf numFmtId="0" fontId="81" fillId="2" borderId="48" xfId="0" applyFont="1" applyFill="1" applyBorder="1" applyAlignment="1" applyProtection="1">
      <alignment horizontal="center" vertical="center" wrapText="1"/>
    </xf>
    <xf numFmtId="0" fontId="81" fillId="2" borderId="46" xfId="0" applyFont="1" applyFill="1" applyBorder="1" applyAlignment="1" applyProtection="1">
      <alignment horizontal="center" vertical="center" wrapText="1"/>
    </xf>
    <xf numFmtId="0" fontId="0" fillId="0" borderId="125" xfId="0" applyBorder="1" applyAlignment="1" applyProtection="1">
      <alignment horizontal="center" vertical="center"/>
    </xf>
    <xf numFmtId="0" fontId="0" fillId="0" borderId="96" xfId="0" applyBorder="1" applyAlignment="1" applyProtection="1">
      <alignment horizontal="center" vertical="center"/>
    </xf>
    <xf numFmtId="0" fontId="0" fillId="0" borderId="95" xfId="0" applyBorder="1" applyAlignment="1" applyProtection="1">
      <alignment horizontal="center" vertical="center"/>
    </xf>
    <xf numFmtId="0" fontId="9" fillId="0" borderId="16" xfId="0" applyFont="1" applyBorder="1" applyAlignment="1" applyProtection="1">
      <alignment horizontal="center" vertical="center" shrinkToFit="1"/>
    </xf>
    <xf numFmtId="0" fontId="9" fillId="0" borderId="17" xfId="0" applyFont="1" applyBorder="1" applyAlignment="1" applyProtection="1">
      <alignment horizontal="center" vertical="center" shrinkToFit="1"/>
    </xf>
    <xf numFmtId="181" fontId="9" fillId="6" borderId="16" xfId="0" applyNumberFormat="1" applyFont="1" applyFill="1" applyBorder="1" applyAlignment="1" applyProtection="1">
      <alignment horizontal="center" vertical="center" shrinkToFit="1"/>
      <protection locked="0"/>
    </xf>
    <xf numFmtId="181" fontId="9" fillId="6" borderId="17" xfId="0" applyNumberFormat="1" applyFont="1" applyFill="1" applyBorder="1" applyAlignment="1" applyProtection="1">
      <alignment horizontal="center" vertical="center" shrinkToFit="1"/>
      <protection locked="0"/>
    </xf>
    <xf numFmtId="181" fontId="9" fillId="6" borderId="13" xfId="0" applyNumberFormat="1" applyFont="1" applyFill="1" applyBorder="1" applyAlignment="1" applyProtection="1">
      <alignment horizontal="center" vertical="center" shrinkToFit="1"/>
      <protection locked="0"/>
    </xf>
    <xf numFmtId="0" fontId="9" fillId="0" borderId="18" xfId="0" applyFont="1" applyBorder="1" applyAlignment="1" applyProtection="1">
      <alignment horizontal="center" vertical="center" shrinkToFit="1"/>
    </xf>
    <xf numFmtId="0" fontId="9" fillId="0" borderId="30" xfId="0" applyFont="1" applyBorder="1" applyAlignment="1" applyProtection="1">
      <alignment horizontal="center" vertical="center" shrinkToFit="1"/>
    </xf>
    <xf numFmtId="0" fontId="9" fillId="2" borderId="18" xfId="0" applyFont="1" applyFill="1" applyBorder="1" applyAlignment="1" applyProtection="1">
      <alignment horizontal="center" vertical="center"/>
    </xf>
    <xf numFmtId="0" fontId="9" fillId="2" borderId="30" xfId="0" applyFont="1" applyFill="1" applyBorder="1" applyAlignment="1" applyProtection="1">
      <alignment horizontal="center" vertical="center"/>
    </xf>
    <xf numFmtId="0" fontId="9" fillId="2" borderId="15" xfId="0" applyFont="1" applyFill="1" applyBorder="1" applyAlignment="1" applyProtection="1">
      <alignment horizontal="center" vertical="center"/>
    </xf>
    <xf numFmtId="0" fontId="9" fillId="2" borderId="20"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14" xfId="0" applyFont="1" applyFill="1" applyBorder="1" applyAlignment="1" applyProtection="1">
      <alignment horizontal="center" vertical="center"/>
    </xf>
    <xf numFmtId="0" fontId="9" fillId="2" borderId="60" xfId="0" applyFont="1" applyFill="1" applyBorder="1" applyAlignment="1" applyProtection="1">
      <alignment horizontal="center" vertical="center"/>
    </xf>
    <xf numFmtId="0" fontId="9" fillId="2" borderId="41" xfId="0" applyFont="1" applyFill="1" applyBorder="1" applyAlignment="1" applyProtection="1">
      <alignment horizontal="center" vertical="center"/>
    </xf>
    <xf numFmtId="0" fontId="9" fillId="2" borderId="61" xfId="0" applyFont="1" applyFill="1" applyBorder="1" applyAlignment="1" applyProtection="1">
      <alignment horizontal="center" vertical="center"/>
    </xf>
    <xf numFmtId="0" fontId="9" fillId="6" borderId="86" xfId="0" applyFont="1" applyFill="1" applyBorder="1" applyAlignment="1" applyProtection="1">
      <alignment horizontal="center" vertical="center" wrapText="1"/>
      <protection locked="0"/>
    </xf>
    <xf numFmtId="0" fontId="9" fillId="6" borderId="87" xfId="0" applyFont="1" applyFill="1" applyBorder="1" applyAlignment="1" applyProtection="1">
      <alignment horizontal="center" vertical="center" wrapText="1"/>
      <protection locked="0"/>
    </xf>
    <xf numFmtId="0" fontId="9" fillId="6" borderId="88" xfId="0" applyFont="1" applyFill="1" applyBorder="1" applyAlignment="1" applyProtection="1">
      <alignment horizontal="center" vertical="center" wrapText="1"/>
      <protection locked="0"/>
    </xf>
    <xf numFmtId="0" fontId="9" fillId="6" borderId="62" xfId="0" applyFont="1" applyFill="1" applyBorder="1" applyAlignment="1" applyProtection="1">
      <alignment horizontal="center" vertical="center" wrapText="1"/>
      <protection locked="0"/>
    </xf>
    <xf numFmtId="0" fontId="9" fillId="6" borderId="63" xfId="0" applyFont="1" applyFill="1" applyBorder="1" applyAlignment="1" applyProtection="1">
      <alignment horizontal="center" vertical="center" wrapText="1"/>
      <protection locked="0"/>
    </xf>
    <xf numFmtId="0" fontId="9" fillId="6" borderId="64" xfId="0" applyFont="1" applyFill="1" applyBorder="1" applyAlignment="1" applyProtection="1">
      <alignment horizontal="center" vertical="center" wrapText="1"/>
      <protection locked="0"/>
    </xf>
    <xf numFmtId="0" fontId="9" fillId="2" borderId="87" xfId="0" applyFont="1" applyFill="1" applyBorder="1" applyAlignment="1" applyProtection="1">
      <alignment horizontal="left" vertical="center" wrapText="1"/>
    </xf>
    <xf numFmtId="0" fontId="9" fillId="2" borderId="88" xfId="0" applyFont="1" applyFill="1" applyBorder="1" applyAlignment="1" applyProtection="1">
      <alignment horizontal="left" vertical="center" wrapText="1"/>
    </xf>
    <xf numFmtId="0" fontId="9" fillId="2" borderId="60" xfId="0" applyFont="1" applyFill="1" applyBorder="1" applyAlignment="1" applyProtection="1">
      <alignment horizontal="center" vertical="center" wrapText="1"/>
    </xf>
    <xf numFmtId="0" fontId="9" fillId="2" borderId="41" xfId="0" applyFont="1" applyFill="1" applyBorder="1" applyAlignment="1" applyProtection="1">
      <alignment horizontal="center" vertical="center" wrapText="1"/>
    </xf>
    <xf numFmtId="0" fontId="9" fillId="2" borderId="61" xfId="0" applyFont="1" applyFill="1" applyBorder="1" applyAlignment="1" applyProtection="1">
      <alignment horizontal="center" vertical="center" wrapText="1"/>
    </xf>
    <xf numFmtId="0" fontId="9" fillId="2" borderId="30" xfId="0" applyFont="1" applyFill="1" applyBorder="1" applyAlignment="1" applyProtection="1">
      <alignment horizontal="left" vertical="center"/>
    </xf>
    <xf numFmtId="0" fontId="9" fillId="2" borderId="16" xfId="0" applyFont="1" applyFill="1" applyBorder="1" applyAlignment="1" applyProtection="1">
      <alignment horizontal="center" vertical="center"/>
    </xf>
    <xf numFmtId="0" fontId="9" fillId="2" borderId="17" xfId="0" applyFont="1" applyFill="1" applyBorder="1" applyAlignment="1" applyProtection="1">
      <alignment horizontal="center" vertical="center"/>
    </xf>
    <xf numFmtId="0" fontId="9" fillId="2" borderId="13" xfId="0" applyFont="1" applyFill="1" applyBorder="1" applyAlignment="1" applyProtection="1">
      <alignment horizontal="center" vertical="center"/>
    </xf>
    <xf numFmtId="0" fontId="9" fillId="2" borderId="18" xfId="0" applyFont="1" applyFill="1" applyBorder="1" applyAlignment="1" applyProtection="1">
      <alignment horizontal="center" vertical="center" wrapText="1"/>
    </xf>
    <xf numFmtId="0" fontId="9" fillId="2" borderId="30" xfId="0" applyFont="1" applyFill="1" applyBorder="1" applyAlignment="1" applyProtection="1">
      <alignment horizontal="center" vertical="center" wrapText="1"/>
    </xf>
    <xf numFmtId="0" fontId="9" fillId="2" borderId="20"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29" fillId="2" borderId="9" xfId="0" applyFont="1" applyFill="1" applyBorder="1" applyAlignment="1" applyProtection="1">
      <alignment horizontal="left" vertical="center"/>
    </xf>
    <xf numFmtId="0" fontId="29" fillId="2" borderId="108" xfId="0" applyFont="1" applyFill="1" applyBorder="1" applyAlignment="1" applyProtection="1">
      <alignment horizontal="left" vertical="center"/>
    </xf>
    <xf numFmtId="181" fontId="9" fillId="4" borderId="16" xfId="0" applyNumberFormat="1" applyFont="1" applyFill="1" applyBorder="1" applyAlignment="1" applyProtection="1">
      <alignment horizontal="center" vertical="center" shrinkToFit="1"/>
      <protection locked="0"/>
    </xf>
    <xf numFmtId="181" fontId="9" fillId="4" borderId="17" xfId="0" applyNumberFormat="1" applyFont="1" applyFill="1" applyBorder="1" applyAlignment="1" applyProtection="1">
      <alignment horizontal="center" vertical="center" shrinkToFit="1"/>
      <protection locked="0"/>
    </xf>
    <xf numFmtId="181" fontId="9" fillId="4" borderId="13" xfId="0" applyNumberFormat="1" applyFont="1" applyFill="1" applyBorder="1" applyAlignment="1" applyProtection="1">
      <alignment horizontal="center" vertical="center" shrinkToFit="1"/>
      <protection locked="0"/>
    </xf>
    <xf numFmtId="0" fontId="9" fillId="2" borderId="16" xfId="0" applyFont="1" applyFill="1" applyBorder="1" applyAlignment="1" applyProtection="1">
      <alignment horizontal="center" vertical="center" wrapText="1" shrinkToFit="1"/>
    </xf>
    <xf numFmtId="0" fontId="9" fillId="2" borderId="17" xfId="0" applyFont="1" applyFill="1" applyBorder="1" applyAlignment="1" applyProtection="1">
      <alignment horizontal="center" vertical="center" wrapText="1" shrinkToFit="1"/>
    </xf>
    <xf numFmtId="0" fontId="9" fillId="2" borderId="13" xfId="0" applyFont="1" applyFill="1" applyBorder="1" applyAlignment="1" applyProtection="1">
      <alignment horizontal="center" vertical="center" wrapText="1" shrinkToFit="1"/>
    </xf>
    <xf numFmtId="0" fontId="9" fillId="2" borderId="65"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0" fontId="27" fillId="2" borderId="38" xfId="0" applyFont="1" applyFill="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40" xfId="0" applyFont="1" applyFill="1" applyBorder="1" applyAlignment="1" applyProtection="1">
      <alignment horizontal="center" vertical="center"/>
    </xf>
    <xf numFmtId="0" fontId="9" fillId="2" borderId="19"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wrapText="1"/>
    </xf>
    <xf numFmtId="0" fontId="9" fillId="6" borderId="17" xfId="0" applyFont="1" applyFill="1" applyBorder="1" applyAlignment="1" applyProtection="1">
      <alignment horizontal="center" vertical="center"/>
      <protection locked="0"/>
    </xf>
    <xf numFmtId="0" fontId="9" fillId="2" borderId="76" xfId="0" applyFont="1" applyFill="1" applyBorder="1" applyAlignment="1" applyProtection="1">
      <alignment horizontal="center" vertical="center" shrinkToFit="1"/>
    </xf>
    <xf numFmtId="0" fontId="9" fillId="2" borderId="9" xfId="0" applyFont="1" applyFill="1" applyBorder="1" applyAlignment="1" applyProtection="1">
      <alignment horizontal="center" vertical="center" shrinkToFit="1"/>
    </xf>
    <xf numFmtId="0" fontId="9" fillId="0" borderId="16" xfId="0" applyFont="1" applyBorder="1" applyAlignment="1" applyProtection="1">
      <alignment horizontal="center" vertical="center" wrapText="1"/>
    </xf>
    <xf numFmtId="0" fontId="9" fillId="0" borderId="17" xfId="0" applyFont="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11" fillId="2" borderId="16" xfId="0" applyFont="1" applyFill="1" applyBorder="1" applyAlignment="1" applyProtection="1">
      <alignment horizontal="center" vertical="center"/>
    </xf>
    <xf numFmtId="0" fontId="11" fillId="2" borderId="17" xfId="0" applyFont="1" applyFill="1" applyBorder="1" applyAlignment="1" applyProtection="1">
      <alignment horizontal="center" vertical="center"/>
    </xf>
    <xf numFmtId="0" fontId="11" fillId="2" borderId="13" xfId="0" applyFont="1" applyFill="1" applyBorder="1" applyAlignment="1" applyProtection="1">
      <alignment horizontal="center" vertical="center"/>
    </xf>
    <xf numFmtId="0" fontId="11" fillId="2" borderId="16"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2" borderId="13" xfId="0" applyFont="1" applyFill="1" applyBorder="1" applyAlignment="1" applyProtection="1">
      <alignment horizontal="center" vertical="center" wrapText="1"/>
    </xf>
    <xf numFmtId="0" fontId="9" fillId="2" borderId="65" xfId="0" applyFont="1" applyFill="1" applyBorder="1" applyAlignment="1" applyProtection="1">
      <alignment horizontal="center" vertical="center" shrinkToFit="1"/>
    </xf>
    <xf numFmtId="0" fontId="9" fillId="2" borderId="3" xfId="0" applyFont="1" applyFill="1" applyBorder="1" applyAlignment="1" applyProtection="1">
      <alignment horizontal="center" vertical="center" shrinkToFit="1"/>
    </xf>
    <xf numFmtId="0" fontId="9" fillId="2" borderId="16" xfId="0" applyFont="1" applyFill="1" applyBorder="1" applyAlignment="1" applyProtection="1">
      <alignment horizontal="left" vertical="center" shrinkToFit="1"/>
    </xf>
    <xf numFmtId="0" fontId="9" fillId="2" borderId="17" xfId="0" applyFont="1" applyFill="1" applyBorder="1" applyAlignment="1" applyProtection="1">
      <alignment horizontal="left" vertical="center" shrinkToFit="1"/>
    </xf>
    <xf numFmtId="0" fontId="9" fillId="2" borderId="13" xfId="0" applyFont="1" applyFill="1" applyBorder="1" applyAlignment="1" applyProtection="1">
      <alignment horizontal="left" vertical="center" shrinkToFit="1"/>
    </xf>
    <xf numFmtId="0" fontId="9" fillId="2" borderId="77" xfId="0" applyFont="1" applyFill="1" applyBorder="1" applyAlignment="1" applyProtection="1">
      <alignment horizontal="center" vertical="center"/>
    </xf>
    <xf numFmtId="0" fontId="9" fillId="2" borderId="16" xfId="0" applyFont="1" applyFill="1" applyBorder="1" applyAlignment="1" applyProtection="1">
      <alignment horizontal="center" vertical="center" shrinkToFit="1"/>
    </xf>
    <xf numFmtId="0" fontId="9" fillId="2" borderId="17" xfId="0" applyFont="1" applyFill="1" applyBorder="1" applyAlignment="1" applyProtection="1">
      <alignment horizontal="center" vertical="center" shrinkToFit="1"/>
    </xf>
    <xf numFmtId="0" fontId="9" fillId="2" borderId="13" xfId="0" applyFont="1" applyFill="1" applyBorder="1" applyAlignment="1" applyProtection="1">
      <alignment horizontal="center" vertical="center" shrinkToFit="1"/>
    </xf>
    <xf numFmtId="200" fontId="18" fillId="2" borderId="486" xfId="0" applyNumberFormat="1" applyFont="1" applyFill="1" applyBorder="1" applyAlignment="1" applyProtection="1">
      <alignment horizontal="center" vertical="center"/>
    </xf>
    <xf numFmtId="0" fontId="9" fillId="6" borderId="3" xfId="0" applyFont="1" applyFill="1" applyBorder="1" applyAlignment="1" applyProtection="1">
      <alignment horizontal="center" vertical="center"/>
      <protection locked="0"/>
    </xf>
    <xf numFmtId="0" fontId="9" fillId="6" borderId="7" xfId="0" applyFont="1" applyFill="1" applyBorder="1" applyAlignment="1" applyProtection="1">
      <alignment horizontal="center" vertical="center"/>
      <protection locked="0"/>
    </xf>
    <xf numFmtId="0" fontId="9" fillId="2" borderId="19"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0" fontId="9" fillId="2" borderId="12" xfId="0" applyFont="1" applyFill="1" applyBorder="1" applyAlignment="1" applyProtection="1">
      <alignment horizontal="center" vertical="center"/>
    </xf>
    <xf numFmtId="0" fontId="18" fillId="2" borderId="16" xfId="0" applyFont="1" applyFill="1" applyBorder="1" applyAlignment="1" applyProtection="1">
      <alignment horizontal="center" vertical="center"/>
    </xf>
    <xf numFmtId="0" fontId="18" fillId="2" borderId="17" xfId="0" applyFont="1" applyFill="1" applyBorder="1" applyAlignment="1" applyProtection="1">
      <alignment horizontal="center" vertical="center"/>
    </xf>
    <xf numFmtId="0" fontId="18" fillId="2" borderId="13" xfId="0" applyFont="1" applyFill="1" applyBorder="1" applyAlignment="1" applyProtection="1">
      <alignment horizontal="center" vertical="center"/>
    </xf>
    <xf numFmtId="0" fontId="18" fillId="2" borderId="17" xfId="0" applyFont="1" applyFill="1" applyBorder="1" applyAlignment="1" applyProtection="1">
      <alignment horizontal="left" vertical="center" wrapText="1"/>
    </xf>
    <xf numFmtId="0" fontId="18" fillId="2" borderId="13" xfId="0" applyFont="1" applyFill="1" applyBorder="1" applyAlignment="1" applyProtection="1">
      <alignment horizontal="left" vertical="center" wrapText="1"/>
    </xf>
    <xf numFmtId="0" fontId="9" fillId="2" borderId="16" xfId="0" applyFont="1" applyFill="1" applyBorder="1" applyAlignment="1" applyProtection="1">
      <alignment horizontal="left" vertical="center" wrapText="1"/>
    </xf>
    <xf numFmtId="0" fontId="9" fillId="2" borderId="17" xfId="0" applyFont="1" applyFill="1" applyBorder="1" applyAlignment="1" applyProtection="1">
      <alignment horizontal="left" vertical="center" wrapText="1"/>
    </xf>
    <xf numFmtId="0" fontId="9" fillId="2" borderId="13" xfId="0" applyFont="1" applyFill="1" applyBorder="1" applyAlignment="1" applyProtection="1">
      <alignment horizontal="left" vertical="center" wrapText="1"/>
    </xf>
    <xf numFmtId="0" fontId="9" fillId="6" borderId="16" xfId="0" applyFont="1" applyFill="1" applyBorder="1" applyAlignment="1" applyProtection="1">
      <alignment horizontal="center" vertical="center" wrapText="1"/>
      <protection locked="0"/>
    </xf>
    <xf numFmtId="0" fontId="9" fillId="6" borderId="17" xfId="0" applyFont="1" applyFill="1" applyBorder="1" applyAlignment="1" applyProtection="1">
      <alignment horizontal="center" vertical="center" wrapText="1"/>
      <protection locked="0"/>
    </xf>
    <xf numFmtId="0" fontId="9" fillId="6" borderId="13"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xf>
    <xf numFmtId="0" fontId="9" fillId="2" borderId="17" xfId="0" applyFont="1" applyFill="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0" fontId="18" fillId="6" borderId="16" xfId="0" applyFont="1" applyFill="1" applyBorder="1" applyAlignment="1" applyProtection="1">
      <alignment horizontal="center" vertical="center"/>
      <protection locked="0"/>
    </xf>
    <xf numFmtId="0" fontId="18" fillId="6" borderId="17" xfId="0" applyFont="1" applyFill="1" applyBorder="1" applyAlignment="1" applyProtection="1">
      <alignment horizontal="center" vertical="center"/>
      <protection locked="0"/>
    </xf>
    <xf numFmtId="0" fontId="18" fillId="6" borderId="13" xfId="0" applyFont="1" applyFill="1" applyBorder="1" applyAlignment="1" applyProtection="1">
      <alignment horizontal="center" vertical="center"/>
      <protection locked="0"/>
    </xf>
    <xf numFmtId="0" fontId="18" fillId="2" borderId="3" xfId="0" applyFont="1" applyFill="1" applyBorder="1" applyAlignment="1" applyProtection="1">
      <alignment horizontal="left" vertical="center" wrapText="1"/>
    </xf>
    <xf numFmtId="0" fontId="18" fillId="2" borderId="18" xfId="0" applyFont="1" applyFill="1" applyBorder="1" applyAlignment="1" applyProtection="1">
      <alignment horizontal="center" vertical="center"/>
    </xf>
    <xf numFmtId="0" fontId="18" fillId="2" borderId="30" xfId="0" applyFont="1" applyFill="1" applyBorder="1" applyAlignment="1" applyProtection="1">
      <alignment horizontal="center" vertical="center"/>
    </xf>
    <xf numFmtId="0" fontId="18" fillId="2" borderId="15" xfId="0" applyFont="1" applyFill="1" applyBorder="1" applyAlignment="1" applyProtection="1">
      <alignment horizontal="center" vertical="center"/>
    </xf>
    <xf numFmtId="0" fontId="18" fillId="2" borderId="81" xfId="0" applyFont="1" applyFill="1" applyBorder="1" applyAlignment="1" applyProtection="1">
      <alignment horizontal="right" vertical="center"/>
    </xf>
    <xf numFmtId="0" fontId="18" fillId="2" borderId="82" xfId="0" applyFont="1" applyFill="1" applyBorder="1" applyAlignment="1" applyProtection="1">
      <alignment horizontal="right" vertical="center"/>
    </xf>
    <xf numFmtId="0" fontId="18" fillId="2" borderId="84" xfId="0" applyFont="1" applyFill="1" applyBorder="1" applyAlignment="1" applyProtection="1">
      <alignment horizontal="right" vertical="center"/>
    </xf>
    <xf numFmtId="0" fontId="9" fillId="6" borderId="137" xfId="0" applyFont="1" applyFill="1" applyBorder="1" applyAlignment="1" applyProtection="1">
      <alignment horizontal="center" vertical="center"/>
      <protection locked="0"/>
    </xf>
    <xf numFmtId="0" fontId="9" fillId="6" borderId="132" xfId="0" applyFont="1" applyFill="1" applyBorder="1" applyAlignment="1" applyProtection="1">
      <alignment horizontal="center" vertical="center"/>
      <protection locked="0"/>
    </xf>
    <xf numFmtId="0" fontId="9" fillId="6" borderId="138" xfId="0" applyFont="1" applyFill="1" applyBorder="1" applyAlignment="1" applyProtection="1">
      <alignment horizontal="center" vertical="center"/>
      <protection locked="0"/>
    </xf>
    <xf numFmtId="0" fontId="18" fillId="0" borderId="34" xfId="0" applyFont="1" applyFill="1" applyBorder="1" applyAlignment="1" applyProtection="1">
      <alignment horizontal="center" vertical="center" shrinkToFit="1"/>
    </xf>
    <xf numFmtId="0" fontId="18" fillId="0" borderId="0" xfId="0" applyFont="1" applyFill="1" applyBorder="1" applyAlignment="1" applyProtection="1">
      <alignment horizontal="center" vertical="center" shrinkToFit="1"/>
    </xf>
    <xf numFmtId="0" fontId="18" fillId="0" borderId="53" xfId="0" applyFont="1" applyFill="1" applyBorder="1" applyAlignment="1" applyProtection="1">
      <alignment horizontal="center" vertical="center" shrinkToFit="1"/>
    </xf>
    <xf numFmtId="0" fontId="18" fillId="0" borderId="93" xfId="0" applyFont="1" applyFill="1" applyBorder="1" applyAlignment="1" applyProtection="1">
      <alignment horizontal="center" vertical="center" shrinkToFit="1"/>
    </xf>
    <xf numFmtId="197" fontId="18" fillId="2" borderId="18" xfId="0" applyNumberFormat="1" applyFont="1" applyFill="1" applyBorder="1" applyAlignment="1" applyProtection="1">
      <alignment horizontal="center" vertical="center"/>
    </xf>
    <xf numFmtId="197" fontId="18" fillId="2" borderId="30" xfId="0" applyNumberFormat="1" applyFont="1" applyFill="1" applyBorder="1" applyAlignment="1" applyProtection="1">
      <alignment horizontal="center" vertical="center"/>
    </xf>
    <xf numFmtId="197" fontId="18" fillId="2" borderId="15" xfId="0" applyNumberFormat="1" applyFont="1" applyFill="1" applyBorder="1" applyAlignment="1" applyProtection="1">
      <alignment horizontal="center" vertical="center"/>
    </xf>
    <xf numFmtId="205" fontId="18" fillId="2" borderId="496" xfId="0" applyNumberFormat="1" applyFont="1" applyFill="1" applyBorder="1" applyAlignment="1" applyProtection="1">
      <alignment horizontal="center" vertical="center" shrinkToFit="1"/>
    </xf>
    <xf numFmtId="205" fontId="18" fillId="2" borderId="497" xfId="0" applyNumberFormat="1" applyFont="1" applyFill="1" applyBorder="1" applyAlignment="1" applyProtection="1">
      <alignment horizontal="center" vertical="center" shrinkToFit="1"/>
    </xf>
    <xf numFmtId="197" fontId="18" fillId="2" borderId="63" xfId="0" applyNumberFormat="1" applyFont="1" applyFill="1" applyBorder="1" applyAlignment="1" applyProtection="1">
      <alignment horizontal="center" vertical="center"/>
    </xf>
    <xf numFmtId="197" fontId="18" fillId="2" borderId="64" xfId="0" applyNumberFormat="1" applyFont="1" applyFill="1" applyBorder="1" applyAlignment="1" applyProtection="1">
      <alignment horizontal="center" vertical="center"/>
    </xf>
    <xf numFmtId="200" fontId="18" fillId="2" borderId="487" xfId="0" applyNumberFormat="1" applyFont="1" applyFill="1" applyBorder="1" applyAlignment="1" applyProtection="1">
      <alignment horizontal="center" vertical="center"/>
    </xf>
    <xf numFmtId="0" fontId="18" fillId="2" borderId="30"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63"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192" fontId="9" fillId="5" borderId="82" xfId="0" applyNumberFormat="1" applyFont="1" applyFill="1" applyBorder="1" applyAlignment="1" applyProtection="1">
      <alignment horizontal="center" vertical="center" shrinkToFit="1"/>
      <protection locked="0"/>
    </xf>
    <xf numFmtId="180" fontId="9" fillId="2" borderId="63" xfId="0" applyNumberFormat="1" applyFont="1" applyFill="1" applyBorder="1" applyAlignment="1" applyProtection="1">
      <alignment horizontal="center" vertical="center"/>
    </xf>
    <xf numFmtId="180" fontId="9" fillId="2" borderId="64" xfId="0" applyNumberFormat="1" applyFont="1" applyFill="1" applyBorder="1" applyAlignment="1" applyProtection="1">
      <alignment horizontal="center" vertical="center"/>
    </xf>
    <xf numFmtId="0" fontId="9" fillId="2" borderId="0" xfId="0" applyFont="1" applyFill="1" applyBorder="1" applyAlignment="1" applyProtection="1">
      <alignment horizontal="left" vertical="center" wrapText="1"/>
    </xf>
    <xf numFmtId="0" fontId="18" fillId="2" borderId="489" xfId="0" applyFont="1" applyFill="1" applyBorder="1" applyAlignment="1" applyProtection="1">
      <alignment horizontal="center" vertical="center" shrinkToFit="1"/>
    </xf>
    <xf numFmtId="0" fontId="18" fillId="0" borderId="36" xfId="0" applyFont="1" applyFill="1" applyBorder="1" applyAlignment="1" applyProtection="1">
      <alignment horizontal="center" vertical="center" shrinkToFit="1"/>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0" fontId="18" fillId="2" borderId="41" xfId="0" applyFont="1" applyFill="1" applyBorder="1" applyAlignment="1" applyProtection="1">
      <alignment horizontal="left" vertical="center"/>
    </xf>
    <xf numFmtId="0" fontId="18" fillId="2" borderId="61" xfId="0" applyFont="1" applyFill="1" applyBorder="1" applyAlignment="1" applyProtection="1">
      <alignment horizontal="left" vertical="center"/>
    </xf>
    <xf numFmtId="0" fontId="9" fillId="2" borderId="121" xfId="0" applyFont="1" applyFill="1" applyBorder="1" applyAlignment="1" applyProtection="1">
      <alignment horizontal="right" vertical="center" shrinkToFit="1"/>
    </xf>
    <xf numFmtId="0" fontId="9" fillId="2" borderId="217" xfId="0" applyFont="1" applyFill="1" applyBorder="1" applyAlignment="1" applyProtection="1">
      <alignment horizontal="right" vertical="center" shrinkToFit="1"/>
    </xf>
    <xf numFmtId="0" fontId="9" fillId="2" borderId="350" xfId="0" applyFont="1" applyFill="1" applyBorder="1" applyAlignment="1" applyProtection="1">
      <alignment horizontal="center" vertical="center"/>
    </xf>
    <xf numFmtId="0" fontId="9" fillId="2" borderId="116" xfId="0" applyFont="1" applyFill="1" applyBorder="1" applyAlignment="1" applyProtection="1">
      <alignment horizontal="center" vertical="center"/>
    </xf>
    <xf numFmtId="0" fontId="9" fillId="2" borderId="352" xfId="0" applyFont="1" applyFill="1" applyBorder="1" applyAlignment="1" applyProtection="1">
      <alignment horizontal="center" vertical="center"/>
    </xf>
    <xf numFmtId="0" fontId="9" fillId="2" borderId="195" xfId="0" applyFont="1" applyFill="1" applyBorder="1" applyAlignment="1" applyProtection="1">
      <alignment horizontal="center" vertical="center"/>
    </xf>
    <xf numFmtId="0" fontId="9" fillId="2" borderId="89" xfId="0" applyFont="1" applyFill="1" applyBorder="1" applyAlignment="1" applyProtection="1">
      <alignment horizontal="center" vertical="center"/>
    </xf>
    <xf numFmtId="0" fontId="9" fillId="2" borderId="90" xfId="0" applyFont="1" applyFill="1" applyBorder="1" applyAlignment="1" applyProtection="1">
      <alignment horizontal="center" vertical="center"/>
    </xf>
    <xf numFmtId="0" fontId="32" fillId="2" borderId="139" xfId="0" applyFont="1" applyFill="1" applyBorder="1" applyAlignment="1" applyProtection="1">
      <alignment horizontal="left" vertical="center" wrapText="1"/>
    </xf>
    <xf numFmtId="0" fontId="9" fillId="6" borderId="122" xfId="0" applyFont="1" applyFill="1" applyBorder="1" applyAlignment="1" applyProtection="1">
      <alignment horizontal="center" vertical="center" wrapText="1"/>
      <protection locked="0"/>
    </xf>
    <xf numFmtId="0" fontId="9" fillId="6" borderId="174" xfId="0" applyFont="1" applyFill="1" applyBorder="1" applyAlignment="1" applyProtection="1">
      <alignment horizontal="center" vertical="center" wrapText="1"/>
      <protection locked="0"/>
    </xf>
    <xf numFmtId="0" fontId="9" fillId="6" borderId="136" xfId="0" applyFont="1" applyFill="1" applyBorder="1" applyAlignment="1" applyProtection="1">
      <alignment horizontal="center" vertical="center" wrapText="1"/>
      <protection locked="0"/>
    </xf>
    <xf numFmtId="0" fontId="9" fillId="4" borderId="244" xfId="0" applyFont="1" applyFill="1" applyBorder="1" applyAlignment="1" applyProtection="1">
      <alignment horizontal="center" vertical="center" shrinkToFit="1"/>
      <protection locked="0"/>
    </xf>
    <xf numFmtId="0" fontId="9" fillId="4" borderId="217" xfId="0" applyFont="1" applyFill="1" applyBorder="1" applyAlignment="1" applyProtection="1">
      <alignment horizontal="center" vertical="center" shrinkToFit="1"/>
      <protection locked="0"/>
    </xf>
    <xf numFmtId="0" fontId="9" fillId="2" borderId="0" xfId="0" applyFont="1" applyFill="1" applyAlignment="1" applyProtection="1">
      <alignment horizontal="left" vertical="center" wrapText="1"/>
    </xf>
    <xf numFmtId="0" fontId="18" fillId="2" borderId="17" xfId="0" applyFont="1" applyFill="1" applyBorder="1" applyAlignment="1" applyProtection="1">
      <alignment horizontal="left" vertical="center"/>
    </xf>
    <xf numFmtId="0" fontId="18" fillId="2" borderId="13" xfId="0" applyFont="1" applyFill="1" applyBorder="1" applyAlignment="1" applyProtection="1">
      <alignment horizontal="left" vertical="center"/>
    </xf>
    <xf numFmtId="0" fontId="9" fillId="4" borderId="63" xfId="0" applyFont="1" applyFill="1" applyBorder="1" applyAlignment="1" applyProtection="1">
      <alignment horizontal="center" vertical="center" wrapText="1"/>
      <protection locked="0"/>
    </xf>
    <xf numFmtId="0" fontId="9" fillId="2" borderId="63" xfId="0" applyFont="1" applyFill="1" applyBorder="1" applyAlignment="1" applyProtection="1">
      <alignment horizontal="center" vertical="center" wrapText="1"/>
    </xf>
    <xf numFmtId="0" fontId="9" fillId="2" borderId="64" xfId="0" applyFont="1" applyFill="1" applyBorder="1" applyAlignment="1" applyProtection="1">
      <alignment horizontal="center" vertical="center" wrapText="1"/>
    </xf>
    <xf numFmtId="0" fontId="18" fillId="2" borderId="18" xfId="0" applyFont="1" applyFill="1" applyBorder="1" applyAlignment="1" applyProtection="1">
      <alignment horizontal="center" vertical="center" wrapText="1"/>
    </xf>
    <xf numFmtId="0" fontId="18" fillId="2" borderId="30" xfId="0" applyFont="1" applyFill="1" applyBorder="1" applyAlignment="1" applyProtection="1">
      <alignment horizontal="center" vertical="center" wrapText="1"/>
    </xf>
    <xf numFmtId="0" fontId="18" fillId="2" borderId="2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18" fillId="2" borderId="19" xfId="0" applyFont="1" applyFill="1" applyBorder="1" applyAlignment="1" applyProtection="1">
      <alignment horizontal="center" vertical="center" wrapText="1"/>
    </xf>
    <xf numFmtId="0" fontId="18" fillId="2" borderId="9" xfId="0" applyFont="1" applyFill="1" applyBorder="1" applyAlignment="1" applyProtection="1">
      <alignment horizontal="center" vertical="center" wrapText="1"/>
    </xf>
    <xf numFmtId="0" fontId="18" fillId="2" borderId="3" xfId="0" applyFont="1" applyFill="1" applyBorder="1" applyAlignment="1" applyProtection="1">
      <alignment horizontal="center" vertical="center"/>
    </xf>
    <xf numFmtId="0" fontId="24" fillId="0" borderId="3" xfId="0" applyFont="1" applyBorder="1" applyAlignment="1" applyProtection="1">
      <alignment horizontal="center" vertical="center"/>
    </xf>
    <xf numFmtId="193" fontId="18" fillId="2" borderId="85" xfId="0" applyNumberFormat="1" applyFont="1" applyFill="1" applyBorder="1" applyAlignment="1" applyProtection="1">
      <alignment horizontal="center" vertical="center"/>
    </xf>
    <xf numFmtId="193" fontId="18" fillId="2" borderId="82" xfId="0" applyNumberFormat="1" applyFont="1" applyFill="1" applyBorder="1" applyAlignment="1" applyProtection="1">
      <alignment horizontal="center" vertical="center"/>
    </xf>
    <xf numFmtId="193" fontId="18" fillId="2" borderId="83" xfId="0" applyNumberFormat="1" applyFont="1" applyFill="1" applyBorder="1" applyAlignment="1" applyProtection="1">
      <alignment horizontal="center" vertical="center"/>
    </xf>
    <xf numFmtId="0" fontId="9" fillId="2" borderId="34" xfId="0" applyFont="1" applyFill="1" applyBorder="1" applyAlignment="1" applyProtection="1">
      <alignment horizontal="center" vertical="center"/>
    </xf>
    <xf numFmtId="0" fontId="9" fillId="2" borderId="17" xfId="0" applyFont="1" applyFill="1" applyBorder="1" applyAlignment="1" applyProtection="1">
      <alignment horizontal="left" vertical="center"/>
    </xf>
    <xf numFmtId="0" fontId="9" fillId="2" borderId="13" xfId="0" applyFont="1" applyFill="1" applyBorder="1" applyAlignment="1" applyProtection="1">
      <alignment horizontal="left" vertical="center"/>
    </xf>
    <xf numFmtId="0" fontId="18" fillId="2" borderId="30" xfId="0" applyFont="1" applyFill="1" applyBorder="1" applyAlignment="1" applyProtection="1">
      <alignment horizontal="left" vertical="center"/>
    </xf>
    <xf numFmtId="0" fontId="18" fillId="2" borderId="15" xfId="0" applyFont="1" applyFill="1" applyBorder="1" applyAlignment="1" applyProtection="1">
      <alignment horizontal="left" vertical="center"/>
    </xf>
    <xf numFmtId="0" fontId="9" fillId="2" borderId="30" xfId="0" applyFont="1" applyFill="1" applyBorder="1" applyAlignment="1" applyProtection="1">
      <alignment horizontal="left" vertical="center" wrapText="1"/>
    </xf>
    <xf numFmtId="0" fontId="9" fillId="2" borderId="15" xfId="0" applyFont="1" applyFill="1" applyBorder="1" applyAlignment="1" applyProtection="1">
      <alignment horizontal="left" vertical="center" wrapText="1"/>
    </xf>
    <xf numFmtId="0" fontId="9" fillId="2" borderId="62" xfId="0" applyFont="1" applyFill="1" applyBorder="1" applyAlignment="1" applyProtection="1">
      <alignment horizontal="center" vertical="center" shrinkToFit="1"/>
    </xf>
    <xf numFmtId="0" fontId="9" fillId="2" borderId="63" xfId="0" applyFont="1" applyFill="1" applyBorder="1" applyAlignment="1" applyProtection="1">
      <alignment horizontal="center" vertical="center" shrinkToFit="1"/>
    </xf>
    <xf numFmtId="0" fontId="9" fillId="2" borderId="63" xfId="0" applyFont="1" applyFill="1" applyBorder="1" applyAlignment="1" applyProtection="1">
      <alignment horizontal="left" vertical="center" shrinkToFit="1"/>
    </xf>
    <xf numFmtId="0" fontId="9" fillId="2" borderId="86" xfId="0" applyFont="1" applyFill="1" applyBorder="1" applyAlignment="1" applyProtection="1">
      <alignment horizontal="center" vertical="center" shrinkToFit="1"/>
    </xf>
    <xf numFmtId="0" fontId="9" fillId="2" borderId="87" xfId="0" applyFont="1" applyFill="1" applyBorder="1" applyAlignment="1" applyProtection="1">
      <alignment horizontal="center" vertical="center" shrinkToFit="1"/>
    </xf>
    <xf numFmtId="0" fontId="9" fillId="2" borderId="87" xfId="0" applyFont="1" applyFill="1" applyBorder="1" applyAlignment="1" applyProtection="1">
      <alignment horizontal="left" vertical="center" shrinkToFit="1"/>
    </xf>
    <xf numFmtId="0" fontId="9" fillId="2" borderId="329" xfId="0" applyFont="1" applyFill="1" applyBorder="1" applyAlignment="1" applyProtection="1">
      <alignment horizontal="center" vertical="center"/>
    </xf>
    <xf numFmtId="0" fontId="9" fillId="2" borderId="94" xfId="0" applyFont="1" applyFill="1" applyBorder="1" applyAlignment="1" applyProtection="1">
      <alignment horizontal="center" vertical="center"/>
    </xf>
    <xf numFmtId="0" fontId="9" fillId="2" borderId="247" xfId="0" applyFont="1" applyFill="1" applyBorder="1" applyAlignment="1" applyProtection="1">
      <alignment horizontal="center" vertical="center"/>
    </xf>
    <xf numFmtId="0" fontId="9" fillId="2" borderId="123" xfId="0" applyFont="1" applyFill="1" applyBorder="1" applyAlignment="1" applyProtection="1">
      <alignment horizontal="right" vertical="center" shrinkToFit="1"/>
    </xf>
    <xf numFmtId="0" fontId="9" fillId="2" borderId="349" xfId="0" applyFont="1" applyFill="1" applyBorder="1" applyAlignment="1" applyProtection="1">
      <alignment horizontal="right" vertical="center" shrinkToFit="1"/>
    </xf>
    <xf numFmtId="0" fontId="9" fillId="4" borderId="447" xfId="0" applyFont="1" applyFill="1" applyBorder="1" applyAlignment="1" applyProtection="1">
      <alignment horizontal="center" vertical="center" shrinkToFit="1"/>
      <protection locked="0"/>
    </xf>
    <xf numFmtId="0" fontId="9" fillId="4" borderId="349" xfId="0" applyFont="1" applyFill="1" applyBorder="1" applyAlignment="1" applyProtection="1">
      <alignment horizontal="center" vertical="center" shrinkToFit="1"/>
      <protection locked="0"/>
    </xf>
    <xf numFmtId="0" fontId="31" fillId="2" borderId="18" xfId="0" applyFont="1" applyFill="1" applyBorder="1" applyAlignment="1" applyProtection="1">
      <alignment horizontal="center" vertical="center" wrapText="1"/>
    </xf>
    <xf numFmtId="0" fontId="31" fillId="2" borderId="30" xfId="0" applyFont="1" applyFill="1" applyBorder="1" applyAlignment="1" applyProtection="1">
      <alignment horizontal="center" vertical="center" wrapText="1"/>
    </xf>
    <xf numFmtId="0" fontId="31" fillId="2" borderId="20" xfId="0" applyFont="1" applyFill="1" applyBorder="1" applyAlignment="1" applyProtection="1">
      <alignment horizontal="center" vertical="center" wrapText="1"/>
    </xf>
    <xf numFmtId="0" fontId="31" fillId="2" borderId="0" xfId="0" applyFont="1" applyFill="1" applyBorder="1" applyAlignment="1" applyProtection="1">
      <alignment horizontal="center" vertical="center" wrapText="1"/>
    </xf>
    <xf numFmtId="0" fontId="31" fillId="2" borderId="14" xfId="0" applyFont="1" applyFill="1" applyBorder="1" applyAlignment="1" applyProtection="1">
      <alignment horizontal="center" vertical="center" wrapText="1"/>
    </xf>
    <xf numFmtId="0" fontId="31" fillId="2" borderId="19" xfId="0" applyFont="1" applyFill="1" applyBorder="1" applyAlignment="1" applyProtection="1">
      <alignment horizontal="center" vertical="center" wrapText="1"/>
    </xf>
    <xf numFmtId="0" fontId="31" fillId="2" borderId="9" xfId="0" applyFont="1" applyFill="1" applyBorder="1" applyAlignment="1" applyProtection="1">
      <alignment horizontal="center" vertical="center" wrapText="1"/>
    </xf>
    <xf numFmtId="0" fontId="31" fillId="2" borderId="12" xfId="0" applyFont="1" applyFill="1" applyBorder="1" applyAlignment="1" applyProtection="1">
      <alignment horizontal="center" vertical="center" wrapText="1"/>
    </xf>
    <xf numFmtId="0" fontId="9" fillId="2" borderId="18" xfId="0" applyFont="1" applyFill="1" applyBorder="1" applyAlignment="1" applyProtection="1">
      <alignment horizontal="left" vertical="center" wrapText="1"/>
    </xf>
    <xf numFmtId="0" fontId="31" fillId="2" borderId="90" xfId="0" applyFont="1" applyFill="1" applyBorder="1" applyAlignment="1" applyProtection="1">
      <alignment horizontal="left" vertical="center" wrapText="1"/>
    </xf>
    <xf numFmtId="0" fontId="9" fillId="2" borderId="351" xfId="0" applyFont="1" applyFill="1" applyBorder="1" applyAlignment="1" applyProtection="1">
      <alignment horizontal="center" vertical="center"/>
    </xf>
    <xf numFmtId="0" fontId="9" fillId="2" borderId="124" xfId="0" applyFont="1" applyFill="1" applyBorder="1" applyAlignment="1" applyProtection="1">
      <alignment horizontal="center" vertical="center"/>
    </xf>
    <xf numFmtId="0" fontId="9" fillId="2" borderId="121" xfId="0" applyFont="1" applyFill="1" applyBorder="1" applyAlignment="1" applyProtection="1">
      <alignment horizontal="center" vertical="center" wrapText="1"/>
    </xf>
    <xf numFmtId="0" fontId="9" fillId="2" borderId="217" xfId="0" applyFont="1" applyFill="1" applyBorder="1" applyAlignment="1" applyProtection="1">
      <alignment horizontal="center" vertical="center" wrapText="1"/>
    </xf>
    <xf numFmtId="0" fontId="9" fillId="2" borderId="172" xfId="0" applyFont="1" applyFill="1" applyBorder="1" applyAlignment="1" applyProtection="1">
      <alignment horizontal="center" vertical="center" wrapText="1"/>
    </xf>
    <xf numFmtId="0" fontId="9" fillId="2" borderId="318" xfId="0" applyFont="1" applyFill="1" applyBorder="1" applyAlignment="1" applyProtection="1">
      <alignment horizontal="center" vertical="center" wrapText="1"/>
    </xf>
    <xf numFmtId="0" fontId="9" fillId="0" borderId="16" xfId="0" applyFont="1" applyBorder="1" applyAlignment="1" applyProtection="1">
      <alignment horizontal="center" vertical="center"/>
    </xf>
    <xf numFmtId="0" fontId="9" fillId="0" borderId="17" xfId="0" applyFont="1" applyBorder="1" applyAlignment="1" applyProtection="1">
      <alignment horizontal="center" vertical="center"/>
    </xf>
    <xf numFmtId="181" fontId="9" fillId="2" borderId="16" xfId="0" applyNumberFormat="1" applyFont="1" applyFill="1" applyBorder="1" applyAlignment="1" applyProtection="1">
      <alignment horizontal="center" vertical="center" shrinkToFit="1"/>
    </xf>
    <xf numFmtId="181" fontId="9" fillId="2" borderId="17" xfId="0" applyNumberFormat="1" applyFont="1" applyFill="1" applyBorder="1" applyAlignment="1" applyProtection="1">
      <alignment horizontal="center" vertical="center" shrinkToFit="1"/>
    </xf>
    <xf numFmtId="181" fontId="9" fillId="2" borderId="13" xfId="0" applyNumberFormat="1" applyFont="1" applyFill="1" applyBorder="1" applyAlignment="1" applyProtection="1">
      <alignment horizontal="center" vertical="center" shrinkToFit="1"/>
    </xf>
    <xf numFmtId="181" fontId="9" fillId="4" borderId="16" xfId="0" applyNumberFormat="1" applyFont="1" applyFill="1" applyBorder="1" applyAlignment="1" applyProtection="1">
      <alignment horizontal="center" vertical="center" shrinkToFit="1"/>
    </xf>
    <xf numFmtId="181" fontId="9" fillId="4" borderId="17" xfId="0" applyNumberFormat="1" applyFont="1" applyFill="1" applyBorder="1" applyAlignment="1" applyProtection="1">
      <alignment horizontal="center" vertical="center" shrinkToFit="1"/>
    </xf>
    <xf numFmtId="181" fontId="9" fillId="4" borderId="13" xfId="0" applyNumberFormat="1" applyFont="1" applyFill="1" applyBorder="1" applyAlignment="1" applyProtection="1">
      <alignment horizontal="center" vertical="center" shrinkToFit="1"/>
    </xf>
    <xf numFmtId="0" fontId="11" fillId="2" borderId="16" xfId="0" applyFont="1" applyFill="1" applyBorder="1" applyAlignment="1" applyProtection="1">
      <alignment horizontal="center" vertical="center" wrapText="1" shrinkToFit="1"/>
    </xf>
    <xf numFmtId="0" fontId="11" fillId="2" borderId="17" xfId="0" applyFont="1" applyFill="1" applyBorder="1" applyAlignment="1" applyProtection="1">
      <alignment horizontal="center" vertical="center" wrapText="1" shrinkToFit="1"/>
    </xf>
    <xf numFmtId="0" fontId="11" fillId="2" borderId="13" xfId="0" applyFont="1" applyFill="1" applyBorder="1" applyAlignment="1" applyProtection="1">
      <alignment horizontal="center" vertical="center" wrapText="1" shrinkToFit="1"/>
    </xf>
    <xf numFmtId="0" fontId="9" fillId="0" borderId="13" xfId="0" applyFont="1" applyBorder="1" applyAlignment="1" applyProtection="1">
      <alignment horizontal="center" vertical="center"/>
    </xf>
    <xf numFmtId="0" fontId="9" fillId="2" borderId="62" xfId="0" applyFont="1" applyFill="1" applyBorder="1" applyAlignment="1" applyProtection="1">
      <alignment horizontal="center" vertical="center" wrapText="1"/>
    </xf>
    <xf numFmtId="0" fontId="9" fillId="2" borderId="16" xfId="0" applyFont="1" applyFill="1" applyBorder="1" applyAlignment="1" applyProtection="1">
      <alignment horizontal="left" vertical="center"/>
    </xf>
    <xf numFmtId="0" fontId="35" fillId="2" borderId="34" xfId="0" applyFont="1" applyFill="1" applyBorder="1" applyAlignment="1" applyProtection="1">
      <alignment horizontal="center" vertical="center"/>
    </xf>
    <xf numFmtId="0" fontId="35" fillId="2" borderId="0" xfId="0" applyFont="1" applyFill="1" applyBorder="1" applyAlignment="1" applyProtection="1">
      <alignment horizontal="center" vertical="center"/>
    </xf>
    <xf numFmtId="179" fontId="9" fillId="2" borderId="0" xfId="0" applyNumberFormat="1" applyFont="1" applyFill="1" applyAlignment="1">
      <alignment horizontal="distributed" vertical="center"/>
    </xf>
    <xf numFmtId="0" fontId="27" fillId="2" borderId="34"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27" fillId="2" borderId="32" xfId="0" applyFont="1" applyFill="1" applyBorder="1" applyAlignment="1" applyProtection="1">
      <alignment horizontal="left" vertical="center"/>
    </xf>
    <xf numFmtId="0" fontId="9" fillId="7" borderId="39" xfId="0" applyFont="1" applyFill="1" applyBorder="1" applyAlignment="1" applyProtection="1">
      <alignment horizontal="center" vertical="center" shrinkToFit="1"/>
    </xf>
    <xf numFmtId="0" fontId="9" fillId="7" borderId="40" xfId="0" applyFont="1" applyFill="1" applyBorder="1" applyAlignment="1" applyProtection="1">
      <alignment horizontal="center" vertical="center" shrinkToFit="1"/>
    </xf>
    <xf numFmtId="0" fontId="9" fillId="2" borderId="86" xfId="0" applyFont="1" applyFill="1" applyBorder="1" applyAlignment="1" applyProtection="1">
      <alignment horizontal="center" vertical="center" wrapText="1"/>
    </xf>
    <xf numFmtId="0" fontId="9" fillId="2" borderId="87" xfId="0" applyFont="1" applyFill="1" applyBorder="1" applyAlignment="1" applyProtection="1">
      <alignment horizontal="center" vertical="center" wrapText="1"/>
    </xf>
    <xf numFmtId="0" fontId="29" fillId="2" borderId="0" xfId="0" applyFont="1" applyFill="1" applyAlignment="1" applyProtection="1">
      <alignment horizontal="left" vertical="center"/>
    </xf>
    <xf numFmtId="0" fontId="29" fillId="2" borderId="32" xfId="0" applyFont="1" applyFill="1" applyBorder="1" applyAlignment="1" applyProtection="1">
      <alignment horizontal="left" vertical="center"/>
    </xf>
    <xf numFmtId="0" fontId="27" fillId="0" borderId="38" xfId="0" applyFont="1" applyBorder="1" applyAlignment="1" applyProtection="1">
      <alignment horizontal="center" vertical="center"/>
    </xf>
    <xf numFmtId="0" fontId="27" fillId="0" borderId="39" xfId="0" applyFont="1" applyBorder="1" applyAlignment="1" applyProtection="1">
      <alignment horizontal="center" vertical="center"/>
    </xf>
    <xf numFmtId="0" fontId="27" fillId="0" borderId="40"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8"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2" borderId="90" xfId="0" applyFont="1" applyFill="1" applyBorder="1" applyAlignment="1" applyProtection="1">
      <alignment horizontal="left" vertical="center" wrapText="1"/>
    </xf>
    <xf numFmtId="0" fontId="9" fillId="2" borderId="94" xfId="0" applyFont="1" applyFill="1" applyBorder="1" applyAlignment="1" applyProtection="1">
      <alignment horizontal="left" vertical="center" wrapText="1"/>
    </xf>
    <xf numFmtId="0" fontId="18" fillId="2" borderId="20" xfId="0"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8" fillId="2" borderId="14" xfId="0" applyFont="1" applyFill="1" applyBorder="1" applyAlignment="1" applyProtection="1">
      <alignment horizontal="center" vertical="center"/>
    </xf>
    <xf numFmtId="0" fontId="18" fillId="2" borderId="19" xfId="0" applyFont="1" applyFill="1" applyBorder="1" applyAlignment="1" applyProtection="1">
      <alignment horizontal="center" vertical="center"/>
    </xf>
    <xf numFmtId="0" fontId="18" fillId="2" borderId="9" xfId="0" applyFont="1" applyFill="1" applyBorder="1" applyAlignment="1" applyProtection="1">
      <alignment horizontal="center" vertical="center"/>
    </xf>
    <xf numFmtId="0" fontId="18" fillId="2" borderId="12" xfId="0" applyFont="1" applyFill="1" applyBorder="1" applyAlignment="1" applyProtection="1">
      <alignment horizontal="center" vertical="center"/>
    </xf>
    <xf numFmtId="0" fontId="18" fillId="2" borderId="3" xfId="0" applyFont="1" applyFill="1" applyBorder="1" applyAlignment="1" applyProtection="1">
      <alignment horizontal="left" vertical="center"/>
    </xf>
    <xf numFmtId="0" fontId="9" fillId="2" borderId="63" xfId="0" applyFont="1" applyFill="1" applyBorder="1" applyAlignment="1" applyProtection="1">
      <alignment horizontal="left" vertical="center" wrapText="1"/>
    </xf>
    <xf numFmtId="0" fontId="9" fillId="2" borderId="64" xfId="0" applyFont="1" applyFill="1" applyBorder="1" applyAlignment="1" applyProtection="1">
      <alignment horizontal="left" vertical="center" wrapText="1"/>
    </xf>
    <xf numFmtId="0" fontId="9" fillId="2" borderId="105" xfId="0" applyFont="1" applyFill="1" applyBorder="1" applyAlignment="1" applyProtection="1">
      <alignment horizontal="center" vertical="center"/>
    </xf>
    <xf numFmtId="0" fontId="9" fillId="2" borderId="106" xfId="0" applyFont="1" applyFill="1" applyBorder="1" applyAlignment="1" applyProtection="1">
      <alignment horizontal="center" vertical="center"/>
    </xf>
    <xf numFmtId="0" fontId="9" fillId="2" borderId="107" xfId="0" applyFont="1" applyFill="1" applyBorder="1" applyAlignment="1" applyProtection="1">
      <alignment horizontal="center" vertical="center"/>
    </xf>
    <xf numFmtId="0" fontId="18" fillId="2" borderId="16" xfId="0" applyFont="1" applyFill="1" applyBorder="1" applyAlignment="1" applyProtection="1">
      <alignment horizontal="left" vertical="center"/>
    </xf>
    <xf numFmtId="0" fontId="9" fillId="2" borderId="3" xfId="0" applyFont="1" applyFill="1" applyBorder="1" applyAlignment="1">
      <alignment horizontal="center" vertical="center"/>
    </xf>
    <xf numFmtId="0" fontId="18" fillId="2" borderId="3" xfId="0" applyFont="1" applyFill="1" applyBorder="1" applyAlignment="1">
      <alignment horizontal="center" vertical="center"/>
    </xf>
    <xf numFmtId="0" fontId="9" fillId="2" borderId="18" xfId="0" applyFont="1" applyFill="1" applyBorder="1" applyAlignment="1" applyProtection="1">
      <alignment horizontal="left" vertical="center" shrinkToFit="1"/>
    </xf>
    <xf numFmtId="0" fontId="9" fillId="2" borderId="30" xfId="0" applyFont="1" applyFill="1" applyBorder="1" applyAlignment="1" applyProtection="1">
      <alignment horizontal="left" vertical="center" shrinkToFit="1"/>
    </xf>
    <xf numFmtId="0" fontId="9" fillId="2" borderId="15" xfId="0" applyFont="1" applyFill="1" applyBorder="1" applyAlignment="1" applyProtection="1">
      <alignment horizontal="left" vertical="center" shrinkToFit="1"/>
    </xf>
    <xf numFmtId="0" fontId="9" fillId="2" borderId="34" xfId="0" applyFont="1" applyFill="1" applyBorder="1" applyAlignment="1">
      <alignment horizontal="center" vertical="center"/>
    </xf>
    <xf numFmtId="0" fontId="9" fillId="2" borderId="0" xfId="0" applyFont="1" applyFill="1" applyAlignment="1">
      <alignment horizontal="center" vertical="center"/>
    </xf>
    <xf numFmtId="0" fontId="27" fillId="2" borderId="33" xfId="0" applyFont="1" applyFill="1" applyBorder="1" applyAlignment="1" applyProtection="1">
      <alignment horizontal="left" vertical="center"/>
    </xf>
    <xf numFmtId="0" fontId="9" fillId="2" borderId="92"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36" xfId="0" applyFont="1" applyFill="1" applyBorder="1" applyAlignment="1" applyProtection="1">
      <alignment horizontal="left" vertical="center" wrapText="1"/>
    </xf>
    <xf numFmtId="181" fontId="9" fillId="2" borderId="18" xfId="0" applyNumberFormat="1" applyFont="1" applyFill="1" applyBorder="1" applyAlignment="1" applyProtection="1">
      <alignment horizontal="left" vertical="center" wrapText="1" shrinkToFit="1"/>
    </xf>
    <xf numFmtId="181" fontId="9" fillId="2" borderId="30" xfId="0" applyNumberFormat="1" applyFont="1" applyFill="1" applyBorder="1" applyAlignment="1" applyProtection="1">
      <alignment horizontal="left" vertical="center" wrapText="1" shrinkToFit="1"/>
    </xf>
    <xf numFmtId="181" fontId="9" fillId="2" borderId="15" xfId="0" applyNumberFormat="1" applyFont="1" applyFill="1" applyBorder="1" applyAlignment="1" applyProtection="1">
      <alignment horizontal="left" vertical="center" wrapText="1" shrinkToFit="1"/>
    </xf>
    <xf numFmtId="181" fontId="9" fillId="2" borderId="20" xfId="0" applyNumberFormat="1" applyFont="1" applyFill="1" applyBorder="1" applyAlignment="1" applyProtection="1">
      <alignment horizontal="left" vertical="center" wrapText="1" shrinkToFit="1"/>
    </xf>
    <xf numFmtId="181" fontId="9" fillId="2" borderId="0" xfId="0" applyNumberFormat="1" applyFont="1" applyFill="1" applyBorder="1" applyAlignment="1" applyProtection="1">
      <alignment horizontal="left" vertical="center" wrapText="1" shrinkToFit="1"/>
    </xf>
    <xf numFmtId="181" fontId="9" fillId="2" borderId="14" xfId="0" applyNumberFormat="1" applyFont="1" applyFill="1" applyBorder="1" applyAlignment="1" applyProtection="1">
      <alignment horizontal="left" vertical="center" wrapText="1" shrinkToFit="1"/>
    </xf>
    <xf numFmtId="181" fontId="9" fillId="2" borderId="19" xfId="0" applyNumberFormat="1" applyFont="1" applyFill="1" applyBorder="1" applyAlignment="1" applyProtection="1">
      <alignment horizontal="left" vertical="center" wrapText="1" shrinkToFit="1"/>
    </xf>
    <xf numFmtId="181" fontId="9" fillId="2" borderId="9" xfId="0" applyNumberFormat="1" applyFont="1" applyFill="1" applyBorder="1" applyAlignment="1" applyProtection="1">
      <alignment horizontal="left" vertical="center" wrapText="1" shrinkToFit="1"/>
    </xf>
    <xf numFmtId="181" fontId="9" fillId="2" borderId="12" xfId="0" applyNumberFormat="1" applyFont="1" applyFill="1" applyBorder="1" applyAlignment="1" applyProtection="1">
      <alignment horizontal="left" vertical="center" wrapText="1" shrinkToFit="1"/>
    </xf>
    <xf numFmtId="0" fontId="9" fillId="2" borderId="41" xfId="0" applyFont="1" applyFill="1" applyBorder="1" applyAlignment="1" applyProtection="1">
      <alignment horizontal="left" vertical="center" wrapText="1"/>
    </xf>
    <xf numFmtId="0" fontId="9" fillId="2" borderId="61" xfId="0" applyFont="1" applyFill="1" applyBorder="1" applyAlignment="1" applyProtection="1">
      <alignment horizontal="left" vertical="center" wrapText="1"/>
    </xf>
    <xf numFmtId="0" fontId="9" fillId="2" borderId="25" xfId="0" applyFont="1" applyFill="1" applyBorder="1" applyAlignment="1" applyProtection="1">
      <alignment horizontal="center" vertical="center" shrinkToFit="1"/>
    </xf>
    <xf numFmtId="0" fontId="9" fillId="2" borderId="66" xfId="0" applyFont="1" applyFill="1" applyBorder="1" applyAlignment="1" applyProtection="1">
      <alignment horizontal="center" vertical="center" shrinkToFit="1"/>
    </xf>
    <xf numFmtId="0" fontId="24" fillId="0" borderId="5" xfId="0" applyFont="1" applyBorder="1" applyAlignment="1" applyProtection="1">
      <alignment horizontal="center" vertical="center" shrinkToFit="1"/>
    </xf>
    <xf numFmtId="0" fontId="9" fillId="0" borderId="18" xfId="0" applyFont="1" applyBorder="1" applyAlignment="1" applyProtection="1">
      <alignment horizontal="center" vertical="center"/>
    </xf>
    <xf numFmtId="0" fontId="9" fillId="0" borderId="19" xfId="0" applyFont="1" applyBorder="1" applyAlignment="1" applyProtection="1">
      <alignment horizontal="center" vertical="center"/>
    </xf>
    <xf numFmtId="0" fontId="9" fillId="2" borderId="30" xfId="0" applyFont="1" applyFill="1" applyBorder="1" applyAlignment="1" applyProtection="1">
      <alignment horizontal="center" vertical="center" shrinkToFit="1"/>
    </xf>
    <xf numFmtId="192" fontId="9" fillId="6" borderId="30" xfId="0" applyNumberFormat="1" applyFont="1" applyFill="1" applyBorder="1" applyAlignment="1" applyProtection="1">
      <alignment horizontal="center" vertical="center" shrinkToFit="1"/>
      <protection locked="0"/>
    </xf>
    <xf numFmtId="0" fontId="9" fillId="2" borderId="15" xfId="0" applyFont="1" applyFill="1" applyBorder="1" applyAlignment="1" applyProtection="1">
      <alignment horizontal="center" vertical="center" shrinkToFit="1"/>
    </xf>
    <xf numFmtId="0" fontId="9" fillId="2" borderId="18" xfId="0" applyFont="1" applyFill="1" applyBorder="1" applyAlignment="1" applyProtection="1">
      <alignment horizontal="center" vertical="center" shrinkToFit="1"/>
    </xf>
    <xf numFmtId="0" fontId="9" fillId="2" borderId="9" xfId="0" applyFont="1" applyFill="1" applyBorder="1" applyAlignment="1" applyProtection="1">
      <alignment horizontal="left" vertical="center" wrapText="1"/>
    </xf>
    <xf numFmtId="0" fontId="19" fillId="2" borderId="0" xfId="0" applyFont="1" applyFill="1" applyBorder="1" applyAlignment="1" applyProtection="1">
      <alignment horizontal="left" vertical="center" wrapText="1"/>
    </xf>
    <xf numFmtId="0" fontId="9" fillId="0" borderId="119" xfId="0" applyFont="1" applyBorder="1" applyAlignment="1" applyProtection="1">
      <alignment horizontal="center" vertical="center"/>
    </xf>
    <xf numFmtId="0" fontId="9" fillId="0" borderId="75" xfId="0" applyFont="1" applyBorder="1" applyAlignment="1" applyProtection="1">
      <alignment horizontal="center" vertical="center"/>
    </xf>
    <xf numFmtId="0" fontId="9" fillId="0" borderId="120" xfId="0" applyFont="1" applyBorder="1" applyAlignment="1" applyProtection="1">
      <alignment horizontal="center" vertical="center"/>
    </xf>
    <xf numFmtId="0" fontId="9" fillId="6" borderId="19" xfId="0" applyFont="1" applyFill="1" applyBorder="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9" fillId="6" borderId="12" xfId="0" applyFont="1" applyFill="1" applyBorder="1" applyAlignment="1" applyProtection="1">
      <alignment horizontal="center" vertical="center"/>
      <protection locked="0"/>
    </xf>
    <xf numFmtId="189" fontId="25" fillId="2" borderId="125" xfId="0" applyNumberFormat="1" applyFont="1" applyFill="1" applyBorder="1" applyAlignment="1" applyProtection="1">
      <alignment horizontal="center" vertical="center" shrinkToFit="1"/>
    </xf>
    <xf numFmtId="190" fontId="9" fillId="2" borderId="486" xfId="0" applyNumberFormat="1" applyFont="1" applyFill="1" applyBorder="1" applyAlignment="1" applyProtection="1">
      <alignment horizontal="center" vertical="center" shrinkToFit="1"/>
    </xf>
    <xf numFmtId="190" fontId="9" fillId="2" borderId="485" xfId="0" applyNumberFormat="1" applyFont="1" applyFill="1" applyBorder="1" applyAlignment="1" applyProtection="1">
      <alignment horizontal="center" vertical="center" shrinkToFit="1"/>
    </xf>
    <xf numFmtId="192" fontId="9" fillId="4" borderId="489" xfId="0" applyNumberFormat="1" applyFont="1" applyFill="1" applyBorder="1" applyAlignment="1" applyProtection="1">
      <alignment horizontal="center" vertical="center" shrinkToFit="1"/>
      <protection locked="0"/>
    </xf>
    <xf numFmtId="192" fontId="9" fillId="5" borderId="81" xfId="0" applyNumberFormat="1" applyFont="1" applyFill="1" applyBorder="1" applyAlignment="1" applyProtection="1">
      <alignment horizontal="center" vertical="center" shrinkToFit="1"/>
      <protection locked="0"/>
    </xf>
    <xf numFmtId="192" fontId="9" fillId="4" borderId="18" xfId="0" applyNumberFormat="1" applyFont="1" applyFill="1" applyBorder="1" applyAlignment="1" applyProtection="1">
      <alignment horizontal="center" vertical="center" shrinkToFit="1"/>
      <protection locked="0"/>
    </xf>
    <xf numFmtId="192" fontId="9" fillId="4" borderId="30" xfId="0" applyNumberFormat="1" applyFont="1" applyFill="1" applyBorder="1" applyAlignment="1" applyProtection="1">
      <alignment horizontal="center" vertical="center" shrinkToFit="1"/>
      <protection locked="0"/>
    </xf>
    <xf numFmtId="0" fontId="31" fillId="2" borderId="3" xfId="0" applyFont="1" applyFill="1" applyBorder="1" applyAlignment="1" applyProtection="1">
      <alignment horizontal="center" vertical="center" wrapText="1"/>
    </xf>
    <xf numFmtId="0" fontId="31" fillId="2" borderId="3" xfId="0" applyFont="1" applyFill="1" applyBorder="1" applyAlignment="1" applyProtection="1">
      <alignment horizontal="center" vertical="center"/>
    </xf>
    <xf numFmtId="0" fontId="31" fillId="2" borderId="16" xfId="0" applyFont="1" applyFill="1" applyBorder="1" applyAlignment="1" applyProtection="1">
      <alignment horizontal="center" vertical="center"/>
    </xf>
    <xf numFmtId="197" fontId="9" fillId="2" borderId="99" xfId="0" applyNumberFormat="1" applyFont="1" applyFill="1" applyBorder="1" applyAlignment="1" applyProtection="1">
      <alignment horizontal="center" vertical="center" wrapText="1"/>
    </xf>
    <xf numFmtId="197" fontId="9" fillId="2" borderId="87" xfId="0" applyNumberFormat="1" applyFont="1" applyFill="1" applyBorder="1" applyAlignment="1" applyProtection="1">
      <alignment horizontal="center" vertical="center" wrapText="1"/>
    </xf>
    <xf numFmtId="197" fontId="9" fillId="2" borderId="88" xfId="0" applyNumberFormat="1" applyFont="1" applyFill="1" applyBorder="1" applyAlignment="1" applyProtection="1">
      <alignment horizontal="center" vertical="center" wrapText="1"/>
    </xf>
    <xf numFmtId="0" fontId="9" fillId="2" borderId="85" xfId="0" applyFont="1" applyFill="1" applyBorder="1" applyAlignment="1" applyProtection="1">
      <alignment horizontal="left" vertical="center" wrapText="1"/>
    </xf>
    <xf numFmtId="197" fontId="9" fillId="2" borderId="84" xfId="0" applyNumberFormat="1" applyFont="1" applyFill="1" applyBorder="1" applyAlignment="1" applyProtection="1">
      <alignment horizontal="center" vertical="center" wrapText="1"/>
    </xf>
    <xf numFmtId="197" fontId="9" fillId="2" borderId="63" xfId="0" applyNumberFormat="1" applyFont="1" applyFill="1" applyBorder="1" applyAlignment="1" applyProtection="1">
      <alignment horizontal="center" vertical="center" wrapText="1"/>
    </xf>
    <xf numFmtId="197" fontId="9" fillId="2" borderId="64" xfId="0" applyNumberFormat="1" applyFont="1" applyFill="1" applyBorder="1" applyAlignment="1" applyProtection="1">
      <alignment horizontal="center" vertical="center" wrapText="1"/>
    </xf>
    <xf numFmtId="0" fontId="9" fillId="2" borderId="0" xfId="0" applyFont="1" applyFill="1" applyBorder="1" applyAlignment="1" applyProtection="1">
      <alignment horizontal="left" vertical="center" shrinkToFit="1"/>
    </xf>
    <xf numFmtId="0" fontId="9" fillId="2" borderId="3" xfId="0" applyFont="1" applyFill="1" applyBorder="1" applyAlignment="1" applyProtection="1">
      <alignment horizontal="left" vertical="center" shrinkToFit="1"/>
    </xf>
    <xf numFmtId="197" fontId="9" fillId="2" borderId="89" xfId="0" applyNumberFormat="1" applyFont="1" applyFill="1" applyBorder="1" applyAlignment="1" applyProtection="1">
      <alignment horizontal="center" vertical="center"/>
    </xf>
    <xf numFmtId="197" fontId="9" fillId="2" borderId="90" xfId="0" applyNumberFormat="1" applyFont="1" applyFill="1" applyBorder="1" applyAlignment="1" applyProtection="1">
      <alignment horizontal="center" vertical="center"/>
    </xf>
    <xf numFmtId="197" fontId="9" fillId="2" borderId="94" xfId="0" applyNumberFormat="1" applyFont="1" applyFill="1" applyBorder="1" applyAlignment="1" applyProtection="1">
      <alignment horizontal="center" vertical="center"/>
    </xf>
    <xf numFmtId="197" fontId="9" fillId="2" borderId="19" xfId="0" applyNumberFormat="1" applyFont="1" applyFill="1" applyBorder="1" applyAlignment="1" applyProtection="1">
      <alignment horizontal="center" vertical="center"/>
    </xf>
    <xf numFmtId="197" fontId="9" fillId="2" borderId="9" xfId="0" applyNumberFormat="1" applyFont="1" applyFill="1" applyBorder="1" applyAlignment="1" applyProtection="1">
      <alignment horizontal="center" vertical="center"/>
    </xf>
    <xf numFmtId="197" fontId="9" fillId="2" borderId="12" xfId="0" applyNumberFormat="1" applyFont="1" applyFill="1" applyBorder="1" applyAlignment="1" applyProtection="1">
      <alignment horizontal="center" vertical="center"/>
    </xf>
    <xf numFmtId="0" fontId="9" fillId="6" borderId="3"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shrinkToFit="1"/>
    </xf>
    <xf numFmtId="0" fontId="9" fillId="2" borderId="50" xfId="0" applyFont="1" applyFill="1" applyBorder="1" applyAlignment="1" applyProtection="1">
      <alignment horizontal="center" vertical="center" shrinkToFit="1"/>
    </xf>
    <xf numFmtId="192" fontId="9" fillId="5" borderId="83" xfId="0" applyNumberFormat="1" applyFont="1" applyFill="1" applyBorder="1" applyAlignment="1" applyProtection="1">
      <alignment horizontal="center" vertical="center" shrinkToFit="1"/>
      <protection locked="0"/>
    </xf>
    <xf numFmtId="0" fontId="9" fillId="2" borderId="88" xfId="0" applyFont="1" applyFill="1" applyBorder="1" applyAlignment="1" applyProtection="1">
      <alignment horizontal="center" vertical="center" shrinkToFit="1"/>
    </xf>
    <xf numFmtId="192" fontId="9" fillId="4" borderId="490" xfId="0" applyNumberFormat="1" applyFont="1" applyFill="1" applyBorder="1" applyAlignment="1" applyProtection="1">
      <alignment horizontal="center" vertical="center" shrinkToFit="1"/>
      <protection locked="0"/>
    </xf>
    <xf numFmtId="9" fontId="9" fillId="2" borderId="86" xfId="5" applyFont="1" applyFill="1" applyBorder="1" applyAlignment="1" applyProtection="1">
      <alignment horizontal="center" vertical="center" shrinkToFit="1"/>
    </xf>
    <xf numFmtId="9" fontId="9" fillId="2" borderId="88" xfId="5" applyFont="1" applyFill="1" applyBorder="1" applyAlignment="1" applyProtection="1">
      <alignment horizontal="center" vertical="center" shrinkToFit="1"/>
    </xf>
    <xf numFmtId="9" fontId="9" fillId="2" borderId="62" xfId="5" applyFont="1" applyFill="1" applyBorder="1" applyAlignment="1" applyProtection="1">
      <alignment horizontal="center" vertical="center" shrinkToFit="1"/>
    </xf>
    <xf numFmtId="9" fontId="9" fillId="2" borderId="64" xfId="5" applyFont="1" applyFill="1" applyBorder="1" applyAlignment="1" applyProtection="1">
      <alignment horizontal="center" vertical="center" shrinkToFit="1"/>
    </xf>
    <xf numFmtId="0" fontId="18" fillId="2" borderId="18" xfId="0" applyFont="1" applyFill="1" applyBorder="1" applyAlignment="1" applyProtection="1">
      <alignment horizontal="center" vertical="center" shrinkToFit="1"/>
    </xf>
    <xf numFmtId="0" fontId="18" fillId="2" borderId="30" xfId="0" applyFont="1" applyFill="1" applyBorder="1" applyAlignment="1" applyProtection="1">
      <alignment horizontal="center" vertical="center" shrinkToFit="1"/>
    </xf>
    <xf numFmtId="0" fontId="18" fillId="2" borderId="15" xfId="0" applyFont="1" applyFill="1" applyBorder="1" applyAlignment="1" applyProtection="1">
      <alignment horizontal="center" vertical="center" shrinkToFit="1"/>
    </xf>
    <xf numFmtId="0" fontId="18" fillId="2" borderId="19" xfId="0" applyFont="1" applyFill="1" applyBorder="1" applyAlignment="1" applyProtection="1">
      <alignment horizontal="center" vertical="center" shrinkToFit="1"/>
    </xf>
    <xf numFmtId="0" fontId="18" fillId="2" borderId="9" xfId="0" applyFont="1" applyFill="1" applyBorder="1" applyAlignment="1" applyProtection="1">
      <alignment horizontal="center" vertical="center" shrinkToFit="1"/>
    </xf>
    <xf numFmtId="0" fontId="18" fillId="2" borderId="12" xfId="0" applyFont="1" applyFill="1" applyBorder="1" applyAlignment="1" applyProtection="1">
      <alignment horizontal="center" vertical="center" shrinkToFit="1"/>
    </xf>
    <xf numFmtId="0" fontId="18" fillId="2" borderId="15" xfId="0" applyFont="1" applyFill="1" applyBorder="1" applyAlignment="1" applyProtection="1">
      <alignment horizontal="center" vertical="center" wrapText="1"/>
    </xf>
    <xf numFmtId="0" fontId="18" fillId="2" borderId="14" xfId="0" applyFont="1" applyFill="1" applyBorder="1" applyAlignment="1" applyProtection="1">
      <alignment horizontal="center" vertical="center" wrapText="1"/>
    </xf>
    <xf numFmtId="0" fontId="18" fillId="2" borderId="12" xfId="0" applyFont="1" applyFill="1" applyBorder="1" applyAlignment="1" applyProtection="1">
      <alignment horizontal="center" vertical="center" wrapText="1"/>
    </xf>
    <xf numFmtId="0" fontId="9" fillId="4" borderId="16" xfId="0" applyFont="1" applyFill="1" applyBorder="1" applyAlignment="1" applyProtection="1">
      <alignment horizontal="center" vertical="center"/>
      <protection locked="0"/>
    </xf>
    <xf numFmtId="0" fontId="9" fillId="4" borderId="17" xfId="0" applyFont="1" applyFill="1" applyBorder="1" applyAlignment="1" applyProtection="1">
      <alignment horizontal="center" vertical="center"/>
      <protection locked="0"/>
    </xf>
    <xf numFmtId="0" fontId="9" fillId="4" borderId="13" xfId="0" applyFont="1" applyFill="1" applyBorder="1" applyAlignment="1" applyProtection="1">
      <alignment horizontal="center" vertical="center"/>
      <protection locked="0"/>
    </xf>
    <xf numFmtId="0" fontId="18" fillId="2" borderId="0" xfId="0" applyFont="1" applyFill="1" applyBorder="1" applyAlignment="1" applyProtection="1">
      <alignment horizontal="left" vertical="center"/>
    </xf>
    <xf numFmtId="0" fontId="9" fillId="2" borderId="95" xfId="0" applyFont="1" applyFill="1" applyBorder="1" applyAlignment="1" applyProtection="1">
      <alignment horizontal="center" vertical="center" shrinkToFit="1"/>
    </xf>
    <xf numFmtId="0" fontId="24" fillId="2" borderId="18" xfId="0" applyFont="1" applyFill="1" applyBorder="1" applyAlignment="1" applyProtection="1">
      <alignment horizontal="center" vertical="center"/>
    </xf>
    <xf numFmtId="0" fontId="24" fillId="2" borderId="30" xfId="0" applyFont="1" applyFill="1" applyBorder="1" applyAlignment="1" applyProtection="1">
      <alignment horizontal="center" vertical="center"/>
    </xf>
    <xf numFmtId="0" fontId="24" fillId="2" borderId="20" xfId="0" applyFont="1" applyFill="1" applyBorder="1" applyAlignment="1" applyProtection="1">
      <alignment horizontal="center" vertical="center"/>
    </xf>
    <xf numFmtId="0" fontId="24" fillId="2" borderId="0" xfId="0" applyFont="1" applyFill="1" applyBorder="1" applyAlignment="1" applyProtection="1">
      <alignment horizontal="center" vertical="center"/>
    </xf>
    <xf numFmtId="0" fontId="24" fillId="2" borderId="19"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9" fillId="2" borderId="19" xfId="0" applyFont="1" applyFill="1" applyBorder="1" applyAlignment="1" applyProtection="1">
      <alignment horizontal="left" vertical="center" shrinkToFit="1"/>
    </xf>
    <xf numFmtId="0" fontId="9" fillId="2" borderId="9" xfId="0" applyFont="1" applyFill="1" applyBorder="1" applyAlignment="1" applyProtection="1">
      <alignment horizontal="left" vertical="center" shrinkToFit="1"/>
    </xf>
    <xf numFmtId="0" fontId="9" fillId="2" borderId="12" xfId="0" applyFont="1" applyFill="1" applyBorder="1" applyAlignment="1" applyProtection="1">
      <alignment horizontal="left" vertical="center" shrinkToFit="1"/>
    </xf>
    <xf numFmtId="0" fontId="18" fillId="2" borderId="18" xfId="0" applyFont="1" applyFill="1" applyBorder="1" applyAlignment="1" applyProtection="1">
      <alignment horizontal="left" vertical="center"/>
    </xf>
    <xf numFmtId="0" fontId="18" fillId="4" borderId="0" xfId="0" applyFont="1" applyFill="1" applyBorder="1" applyAlignment="1" applyProtection="1">
      <alignment horizontal="center" vertical="center" shrinkToFit="1"/>
      <protection locked="0"/>
    </xf>
    <xf numFmtId="0" fontId="18" fillId="4" borderId="14" xfId="0" applyFont="1" applyFill="1" applyBorder="1" applyAlignment="1" applyProtection="1">
      <alignment horizontal="center" vertical="center" shrinkToFit="1"/>
      <protection locked="0"/>
    </xf>
    <xf numFmtId="192" fontId="18" fillId="6" borderId="90" xfId="0" applyNumberFormat="1" applyFont="1" applyFill="1" applyBorder="1" applyAlignment="1" applyProtection="1">
      <alignment horizontal="center" vertical="center" shrinkToFit="1"/>
      <protection locked="0"/>
    </xf>
    <xf numFmtId="192" fontId="9" fillId="4" borderId="488" xfId="0" applyNumberFormat="1" applyFont="1" applyFill="1" applyBorder="1" applyAlignment="1" applyProtection="1">
      <alignment horizontal="center" vertical="center" shrinkToFit="1"/>
      <protection locked="0"/>
    </xf>
    <xf numFmtId="0" fontId="18" fillId="2" borderId="90" xfId="0" applyFont="1" applyFill="1" applyBorder="1" applyAlignment="1" applyProtection="1">
      <alignment horizontal="center" vertical="center" shrinkToFit="1"/>
    </xf>
    <xf numFmtId="0" fontId="24" fillId="2" borderId="18" xfId="0" applyFont="1" applyFill="1" applyBorder="1" applyAlignment="1" applyProtection="1">
      <alignment horizontal="center" vertical="center" wrapText="1"/>
    </xf>
    <xf numFmtId="0" fontId="24" fillId="2" borderId="30" xfId="0" applyFont="1" applyFill="1" applyBorder="1" applyAlignment="1" applyProtection="1">
      <alignment horizontal="center" vertical="center" wrapText="1"/>
    </xf>
    <xf numFmtId="0" fontId="24" fillId="2" borderId="20" xfId="0" applyFont="1" applyFill="1" applyBorder="1" applyAlignment="1" applyProtection="1">
      <alignment horizontal="center" vertical="center" wrapText="1"/>
    </xf>
    <xf numFmtId="0" fontId="24" fillId="2" borderId="0" xfId="0" applyFont="1" applyFill="1" applyBorder="1" applyAlignment="1" applyProtection="1">
      <alignment horizontal="center" vertical="center" wrapText="1"/>
    </xf>
    <xf numFmtId="0" fontId="24" fillId="2" borderId="19" xfId="0" applyFont="1" applyFill="1" applyBorder="1" applyAlignment="1" applyProtection="1">
      <alignment horizontal="center" vertical="center" wrapText="1"/>
    </xf>
    <xf numFmtId="0" fontId="24" fillId="2" borderId="9" xfId="0" applyFont="1" applyFill="1" applyBorder="1" applyAlignment="1" applyProtection="1">
      <alignment horizontal="center" vertical="center" wrapText="1"/>
    </xf>
    <xf numFmtId="188" fontId="9" fillId="0" borderId="34" xfId="0" applyNumberFormat="1" applyFont="1" applyFill="1" applyBorder="1" applyAlignment="1" applyProtection="1">
      <alignment horizontal="center" vertical="center" shrinkToFit="1"/>
    </xf>
    <xf numFmtId="188" fontId="9" fillId="0" borderId="0" xfId="0" applyNumberFormat="1" applyFont="1" applyFill="1" applyBorder="1" applyAlignment="1" applyProtection="1">
      <alignment horizontal="center" vertical="center" shrinkToFit="1"/>
    </xf>
    <xf numFmtId="188" fontId="9" fillId="2" borderId="96" xfId="0" applyNumberFormat="1" applyFont="1" applyFill="1" applyBorder="1" applyAlignment="1" applyProtection="1">
      <alignment horizontal="center" vertical="center" shrinkToFit="1"/>
    </xf>
    <xf numFmtId="190" fontId="9" fillId="2" borderId="487" xfId="0" applyNumberFormat="1" applyFont="1" applyFill="1" applyBorder="1" applyAlignment="1" applyProtection="1">
      <alignment horizontal="center" vertical="center" shrinkToFit="1"/>
    </xf>
    <xf numFmtId="0" fontId="32" fillId="2" borderId="60" xfId="0" applyFont="1" applyFill="1" applyBorder="1" applyAlignment="1" applyProtection="1">
      <alignment horizontal="center" vertical="center" shrinkToFit="1"/>
    </xf>
    <xf numFmtId="0" fontId="32" fillId="2" borderId="61" xfId="0" applyFont="1" applyFill="1" applyBorder="1" applyAlignment="1" applyProtection="1">
      <alignment horizontal="center" vertical="center" shrinkToFit="1"/>
    </xf>
    <xf numFmtId="0" fontId="9" fillId="2" borderId="125" xfId="0" applyFont="1" applyFill="1" applyBorder="1" applyAlignment="1" applyProtection="1">
      <alignment horizontal="center" vertical="center" shrinkToFit="1"/>
    </xf>
    <xf numFmtId="188" fontId="9" fillId="2" borderId="95" xfId="0" applyNumberFormat="1" applyFont="1" applyFill="1" applyBorder="1" applyAlignment="1" applyProtection="1">
      <alignment horizontal="center" vertical="center" shrinkToFit="1"/>
    </xf>
    <xf numFmtId="0" fontId="9" fillId="6" borderId="0" xfId="0" applyFont="1" applyFill="1" applyBorder="1" applyAlignment="1" applyProtection="1">
      <alignment horizontal="center" vertical="center"/>
      <protection locked="0"/>
    </xf>
    <xf numFmtId="0" fontId="9" fillId="6" borderId="14" xfId="0" applyFont="1" applyFill="1" applyBorder="1" applyAlignment="1" applyProtection="1">
      <alignment horizontal="center" vertical="center"/>
      <protection locked="0"/>
    </xf>
    <xf numFmtId="192" fontId="18" fillId="4" borderId="90" xfId="0" applyNumberFormat="1" applyFont="1" applyFill="1" applyBorder="1" applyAlignment="1" applyProtection="1">
      <alignment horizontal="center" vertical="center" shrinkToFit="1"/>
      <protection locked="0"/>
    </xf>
    <xf numFmtId="0" fontId="18" fillId="2" borderId="113" xfId="0" applyFont="1" applyFill="1" applyBorder="1" applyAlignment="1" applyProtection="1">
      <alignment horizontal="left" vertical="center" wrapText="1"/>
    </xf>
    <xf numFmtId="0" fontId="18" fillId="2" borderId="112" xfId="0" applyFont="1" applyFill="1" applyBorder="1" applyAlignment="1" applyProtection="1">
      <alignment horizontal="left" vertical="center" wrapText="1"/>
    </xf>
    <xf numFmtId="0" fontId="9" fillId="2" borderId="114" xfId="0" applyFont="1" applyFill="1" applyBorder="1" applyAlignment="1" applyProtection="1">
      <alignment horizontal="left" vertical="center" wrapText="1"/>
    </xf>
    <xf numFmtId="0" fontId="9" fillId="2" borderId="115" xfId="0" applyFont="1" applyFill="1" applyBorder="1" applyAlignment="1" applyProtection="1">
      <alignment horizontal="left" vertical="center" wrapText="1"/>
    </xf>
    <xf numFmtId="0" fontId="9" fillId="6" borderId="16" xfId="0" applyFont="1" applyFill="1" applyBorder="1" applyAlignment="1" applyProtection="1">
      <alignment horizontal="center" vertical="center"/>
      <protection locked="0"/>
    </xf>
    <xf numFmtId="0" fontId="9" fillId="6" borderId="13" xfId="0" applyFont="1" applyFill="1" applyBorder="1" applyAlignment="1" applyProtection="1">
      <alignment horizontal="center" vertical="center"/>
      <protection locked="0"/>
    </xf>
    <xf numFmtId="0" fontId="9" fillId="2" borderId="111" xfId="0" applyFont="1" applyFill="1" applyBorder="1" applyAlignment="1" applyProtection="1">
      <alignment horizontal="center" vertical="center"/>
    </xf>
    <xf numFmtId="0" fontId="9" fillId="2" borderId="17" xfId="0" applyFont="1" applyFill="1" applyBorder="1" applyAlignment="1">
      <alignment horizontal="left" vertical="center" wrapText="1"/>
    </xf>
    <xf numFmtId="0" fontId="9" fillId="2" borderId="20" xfId="0" applyFont="1" applyFill="1" applyBorder="1" applyAlignment="1" applyProtection="1">
      <alignment horizontal="left" vertical="center" wrapText="1"/>
    </xf>
    <xf numFmtId="0" fontId="9" fillId="2" borderId="14" xfId="0" applyFont="1" applyFill="1" applyBorder="1" applyAlignment="1" applyProtection="1">
      <alignment horizontal="left" vertical="center" wrapText="1"/>
    </xf>
    <xf numFmtId="0" fontId="9" fillId="2" borderId="19" xfId="0" applyFont="1" applyFill="1" applyBorder="1" applyAlignment="1" applyProtection="1">
      <alignment horizontal="left" vertical="center" wrapText="1"/>
    </xf>
    <xf numFmtId="0" fontId="9" fillId="2" borderId="12"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xf>
    <xf numFmtId="0" fontId="9" fillId="2" borderId="135" xfId="0" applyFont="1" applyFill="1" applyBorder="1" applyAlignment="1" applyProtection="1">
      <alignment horizontal="center" vertical="center"/>
    </xf>
    <xf numFmtId="0" fontId="9" fillId="2" borderId="135" xfId="0" applyFont="1" applyFill="1" applyBorder="1" applyAlignment="1" applyProtection="1">
      <alignment horizontal="left" vertical="center" wrapText="1"/>
    </xf>
    <xf numFmtId="0" fontId="29" fillId="2" borderId="0" xfId="0" applyFont="1" applyFill="1" applyBorder="1" applyAlignment="1" applyProtection="1">
      <alignment horizontal="left" vertical="center" shrinkToFit="1"/>
    </xf>
    <xf numFmtId="200" fontId="18" fillId="2" borderId="485" xfId="0" applyNumberFormat="1" applyFont="1" applyFill="1" applyBorder="1" applyAlignment="1" applyProtection="1">
      <alignment horizontal="center" vertical="center"/>
    </xf>
    <xf numFmtId="0" fontId="18" fillId="2" borderId="0" xfId="0" applyFont="1" applyFill="1" applyBorder="1" applyAlignment="1" applyProtection="1">
      <alignment horizontal="left" vertical="center" wrapText="1"/>
    </xf>
    <xf numFmtId="0" fontId="18" fillId="2" borderId="14" xfId="0" applyFont="1" applyFill="1" applyBorder="1" applyAlignment="1" applyProtection="1">
      <alignment horizontal="left" vertical="center" wrapText="1"/>
    </xf>
    <xf numFmtId="0" fontId="18" fillId="2" borderId="239" xfId="0" applyFont="1" applyFill="1" applyBorder="1" applyAlignment="1" applyProtection="1">
      <alignment horizontal="center" vertical="center" wrapText="1"/>
    </xf>
    <xf numFmtId="0" fontId="9" fillId="2" borderId="95" xfId="0" applyFont="1" applyFill="1" applyBorder="1" applyAlignment="1" applyProtection="1">
      <alignment horizontal="center" vertical="center"/>
    </xf>
    <xf numFmtId="0" fontId="9" fillId="2" borderId="95" xfId="0" applyFont="1" applyFill="1" applyBorder="1" applyAlignment="1" applyProtection="1">
      <alignment horizontal="left" vertical="center" wrapText="1"/>
    </xf>
    <xf numFmtId="205" fontId="18" fillId="2" borderId="495" xfId="0" applyNumberFormat="1" applyFont="1" applyFill="1" applyBorder="1" applyAlignment="1" applyProtection="1">
      <alignment horizontal="center" vertical="center" shrinkToFit="1"/>
    </xf>
    <xf numFmtId="0" fontId="18" fillId="2" borderId="89" xfId="0" applyFont="1" applyFill="1" applyBorder="1" applyAlignment="1" applyProtection="1">
      <alignment horizontal="center" vertical="center" wrapText="1"/>
    </xf>
    <xf numFmtId="0" fontId="18" fillId="2" borderId="78" xfId="0" applyFont="1" applyFill="1" applyBorder="1" applyAlignment="1" applyProtection="1">
      <alignment horizontal="center" vertical="center" wrapText="1"/>
    </xf>
    <xf numFmtId="0" fontId="18" fillId="2" borderId="490" xfId="0" applyFont="1" applyFill="1" applyBorder="1" applyAlignment="1" applyProtection="1">
      <alignment horizontal="center" vertical="center" shrinkToFit="1"/>
    </xf>
    <xf numFmtId="0" fontId="18" fillId="2" borderId="488" xfId="0" applyFont="1" applyFill="1" applyBorder="1" applyAlignment="1" applyProtection="1">
      <alignment horizontal="center" vertical="center" shrinkToFit="1"/>
    </xf>
    <xf numFmtId="0" fontId="9" fillId="2" borderId="41" xfId="0" applyFont="1" applyFill="1" applyBorder="1" applyAlignment="1" applyProtection="1">
      <alignment horizontal="left" vertical="center" shrinkToFit="1"/>
    </xf>
    <xf numFmtId="0" fontId="9" fillId="2" borderId="61" xfId="0" applyFont="1" applyFill="1" applyBorder="1" applyAlignment="1" applyProtection="1">
      <alignment horizontal="left" vertical="center" shrinkToFit="1"/>
    </xf>
    <xf numFmtId="0" fontId="9" fillId="2" borderId="15" xfId="0" applyFont="1" applyFill="1" applyBorder="1" applyAlignment="1" applyProtection="1">
      <alignment horizontal="center" vertical="center" wrapText="1"/>
    </xf>
    <xf numFmtId="0" fontId="9" fillId="2" borderId="14" xfId="0" applyFont="1" applyFill="1" applyBorder="1" applyAlignment="1" applyProtection="1">
      <alignment horizontal="center" vertical="center" wrapText="1"/>
    </xf>
    <xf numFmtId="0" fontId="9" fillId="2" borderId="12" xfId="0" applyFont="1" applyFill="1" applyBorder="1" applyAlignment="1" applyProtection="1">
      <alignment horizontal="center" vertical="center" wrapText="1"/>
    </xf>
    <xf numFmtId="0" fontId="9" fillId="2" borderId="16"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8" fillId="2" borderId="3" xfId="0" applyFont="1" applyFill="1" applyBorder="1" applyAlignment="1">
      <alignment horizontal="left" vertical="center"/>
    </xf>
    <xf numFmtId="0" fontId="9" fillId="2" borderId="20" xfId="0" applyFont="1" applyFill="1" applyBorder="1" applyAlignment="1" applyProtection="1">
      <alignment horizontal="left" vertical="center" shrinkToFit="1"/>
    </xf>
    <xf numFmtId="0" fontId="9" fillId="2" borderId="14" xfId="0" applyFont="1" applyFill="1" applyBorder="1" applyAlignment="1" applyProtection="1">
      <alignment horizontal="left" vertical="center" shrinkToFit="1"/>
    </xf>
    <xf numFmtId="0" fontId="9" fillId="6" borderId="60" xfId="0" applyFont="1" applyFill="1" applyBorder="1" applyAlignment="1" applyProtection="1">
      <alignment horizontal="center" vertical="center" wrapText="1"/>
      <protection locked="0"/>
    </xf>
    <xf numFmtId="0" fontId="9" fillId="6" borderId="41" xfId="0" applyFont="1" applyFill="1" applyBorder="1" applyAlignment="1" applyProtection="1">
      <alignment horizontal="center" vertical="center" wrapText="1"/>
      <protection locked="0"/>
    </xf>
    <xf numFmtId="0" fontId="9" fillId="6" borderId="61" xfId="0" applyFont="1" applyFill="1" applyBorder="1" applyAlignment="1" applyProtection="1">
      <alignment horizontal="center" vertical="center" wrapText="1"/>
      <protection locked="0"/>
    </xf>
    <xf numFmtId="0" fontId="9" fillId="0" borderId="90" xfId="0" applyFont="1" applyFill="1" applyBorder="1" applyAlignment="1" applyProtection="1">
      <alignment horizontal="center" vertical="center" wrapText="1"/>
    </xf>
    <xf numFmtId="0" fontId="9" fillId="0" borderId="94" xfId="0" applyFont="1" applyFill="1" applyBorder="1" applyAlignment="1" applyProtection="1">
      <alignment horizontal="center" vertical="center" wrapText="1"/>
    </xf>
    <xf numFmtId="0" fontId="18" fillId="2" borderId="18" xfId="0" applyFont="1" applyFill="1" applyBorder="1" applyAlignment="1">
      <alignment horizontal="center" vertical="center"/>
    </xf>
    <xf numFmtId="0" fontId="18" fillId="2" borderId="30"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0" xfId="0" applyFont="1" applyFill="1" applyAlignment="1">
      <alignment horizontal="center" vertical="center"/>
    </xf>
    <xf numFmtId="0" fontId="18" fillId="2" borderId="19" xfId="0" applyFont="1" applyFill="1" applyBorder="1" applyAlignment="1">
      <alignment horizontal="center" vertical="center"/>
    </xf>
    <xf numFmtId="0" fontId="18" fillId="2" borderId="9" xfId="0" applyFont="1" applyFill="1" applyBorder="1" applyAlignment="1">
      <alignment horizontal="center" vertical="center"/>
    </xf>
    <xf numFmtId="0" fontId="9" fillId="2" borderId="89" xfId="0" applyFont="1" applyFill="1" applyBorder="1" applyAlignment="1" applyProtection="1">
      <alignment horizontal="center" vertical="center" wrapText="1"/>
    </xf>
    <xf numFmtId="0" fontId="9" fillId="2" borderId="90" xfId="0" applyFont="1" applyFill="1" applyBorder="1" applyAlignment="1" applyProtection="1">
      <alignment horizontal="center" vertical="center" wrapText="1"/>
    </xf>
    <xf numFmtId="0" fontId="9" fillId="0" borderId="38" xfId="0" applyFont="1" applyBorder="1" applyAlignment="1" applyProtection="1">
      <alignment horizontal="center" vertical="center"/>
    </xf>
    <xf numFmtId="0" fontId="9" fillId="0" borderId="40" xfId="0" applyFont="1" applyBorder="1" applyAlignment="1" applyProtection="1">
      <alignment horizontal="center" vertical="center"/>
    </xf>
    <xf numFmtId="0" fontId="9" fillId="2" borderId="16" xfId="0" applyNumberFormat="1" applyFont="1" applyFill="1" applyBorder="1" applyAlignment="1" applyProtection="1">
      <alignment horizontal="center" vertical="center" shrinkToFit="1"/>
    </xf>
    <xf numFmtId="0" fontId="9" fillId="2" borderId="17" xfId="0" applyNumberFormat="1" applyFont="1" applyFill="1" applyBorder="1" applyAlignment="1" applyProtection="1">
      <alignment horizontal="center" vertical="center" shrinkToFit="1"/>
    </xf>
    <xf numFmtId="0" fontId="9" fillId="2" borderId="13" xfId="0" applyNumberFormat="1" applyFont="1" applyFill="1" applyBorder="1" applyAlignment="1" applyProtection="1">
      <alignment horizontal="center" vertical="center" shrinkToFit="1"/>
    </xf>
    <xf numFmtId="0" fontId="19" fillId="2" borderId="17" xfId="0" applyFont="1" applyFill="1" applyBorder="1" applyAlignment="1" applyProtection="1">
      <alignment horizontal="left" vertical="center" shrinkToFit="1"/>
    </xf>
    <xf numFmtId="0" fontId="19" fillId="2" borderId="13" xfId="0" applyFont="1" applyFill="1" applyBorder="1" applyAlignment="1" applyProtection="1">
      <alignment horizontal="left" vertical="center" shrinkToFit="1"/>
    </xf>
    <xf numFmtId="0" fontId="9" fillId="2" borderId="20" xfId="0" applyFont="1" applyFill="1" applyBorder="1" applyAlignment="1" applyProtection="1">
      <alignment horizontal="left" vertical="center" wrapText="1" shrinkToFit="1"/>
    </xf>
    <xf numFmtId="0" fontId="9" fillId="2" borderId="0" xfId="0" applyFont="1" applyFill="1" applyBorder="1" applyAlignment="1" applyProtection="1">
      <alignment horizontal="left" vertical="center" wrapText="1" shrinkToFit="1"/>
    </xf>
    <xf numFmtId="0" fontId="9" fillId="2" borderId="14" xfId="0" applyFont="1" applyFill="1" applyBorder="1" applyAlignment="1" applyProtection="1">
      <alignment horizontal="left" vertical="center" wrapText="1" shrinkToFit="1"/>
    </xf>
    <xf numFmtId="0" fontId="9" fillId="2" borderId="13" xfId="0" applyFont="1" applyFill="1" applyBorder="1" applyAlignment="1">
      <alignment horizontal="center" vertical="center"/>
    </xf>
    <xf numFmtId="0" fontId="18" fillId="2" borderId="5" xfId="0" applyFont="1" applyFill="1" applyBorder="1" applyAlignment="1" applyProtection="1">
      <alignment horizontal="left" vertical="center"/>
    </xf>
    <xf numFmtId="0" fontId="29" fillId="2" borderId="0" xfId="0" applyFont="1" applyFill="1" applyBorder="1" applyAlignment="1" applyProtection="1">
      <alignment vertical="center"/>
    </xf>
    <xf numFmtId="0" fontId="18" fillId="2" borderId="7" xfId="0" applyFont="1" applyFill="1" applyBorder="1" applyAlignment="1" applyProtection="1">
      <alignment horizontal="left" vertical="center"/>
    </xf>
    <xf numFmtId="0" fontId="29" fillId="2" borderId="9" xfId="0" applyFont="1" applyFill="1" applyBorder="1" applyAlignment="1" applyProtection="1">
      <alignment horizontal="left" vertical="center" shrinkToFit="1"/>
    </xf>
    <xf numFmtId="0" fontId="9" fillId="2" borderId="139" xfId="0" applyFont="1" applyFill="1" applyBorder="1" applyAlignment="1" applyProtection="1">
      <alignment horizontal="center" vertical="center" wrapText="1"/>
    </xf>
    <xf numFmtId="0" fontId="9" fillId="4" borderId="139" xfId="0" applyFont="1" applyFill="1" applyBorder="1" applyAlignment="1" applyProtection="1">
      <alignment horizontal="left" vertical="center" shrinkToFit="1"/>
      <protection locked="0"/>
    </xf>
    <xf numFmtId="0" fontId="9" fillId="4" borderId="142" xfId="0" applyFont="1" applyFill="1" applyBorder="1" applyAlignment="1" applyProtection="1">
      <alignment horizontal="left" vertical="center" shrinkToFit="1"/>
      <protection locked="0"/>
    </xf>
    <xf numFmtId="0" fontId="18" fillId="0" borderId="492" xfId="0" applyFont="1" applyFill="1" applyBorder="1" applyAlignment="1" applyProtection="1">
      <alignment horizontal="center" vertical="center" shrinkToFit="1"/>
    </xf>
    <xf numFmtId="0" fontId="9" fillId="2" borderId="90" xfId="0" applyFont="1" applyFill="1" applyBorder="1" applyAlignment="1" applyProtection="1">
      <alignment horizontal="left" vertical="center" wrapText="1" shrinkToFit="1"/>
    </xf>
    <xf numFmtId="0" fontId="19" fillId="2" borderId="0" xfId="0" applyFont="1" applyFill="1" applyBorder="1" applyAlignment="1" applyProtection="1">
      <alignment horizontal="left" vertical="center" shrinkToFit="1"/>
    </xf>
    <xf numFmtId="0" fontId="32" fillId="2" borderId="125" xfId="0" applyFont="1" applyFill="1" applyBorder="1" applyAlignment="1" applyProtection="1">
      <alignment horizontal="center" vertical="center" shrinkToFit="1"/>
    </xf>
    <xf numFmtId="0" fontId="9" fillId="2" borderId="88" xfId="0" applyFont="1" applyFill="1" applyBorder="1" applyAlignment="1" applyProtection="1">
      <alignment horizontal="center" vertical="center" wrapText="1"/>
    </xf>
    <xf numFmtId="0" fontId="9" fillId="4" borderId="87" xfId="0" applyFont="1" applyFill="1" applyBorder="1" applyAlignment="1" applyProtection="1">
      <alignment horizontal="center" vertical="center" wrapText="1"/>
      <protection locked="0"/>
    </xf>
    <xf numFmtId="0" fontId="9" fillId="2" borderId="333" xfId="0" applyFont="1" applyFill="1" applyBorder="1" applyAlignment="1" applyProtection="1">
      <alignment horizontal="center" vertical="center"/>
    </xf>
    <xf numFmtId="0" fontId="9" fillId="2" borderId="133" xfId="0" applyFont="1" applyFill="1" applyBorder="1" applyAlignment="1" applyProtection="1">
      <alignment horizontal="center" vertical="center"/>
    </xf>
    <xf numFmtId="0" fontId="9" fillId="2" borderId="139" xfId="0" applyFont="1" applyFill="1" applyBorder="1" applyAlignment="1" applyProtection="1">
      <alignment horizontal="center" vertical="center"/>
    </xf>
    <xf numFmtId="0" fontId="9" fillId="6" borderId="0"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shrinkToFit="1"/>
    </xf>
    <xf numFmtId="0" fontId="9" fillId="2" borderId="94" xfId="0" applyFont="1" applyFill="1" applyBorder="1" applyAlignment="1" applyProtection="1">
      <alignment horizontal="center" vertical="center" wrapText="1"/>
    </xf>
    <xf numFmtId="0" fontId="9" fillId="2" borderId="41" xfId="0" applyFont="1" applyFill="1" applyBorder="1" applyAlignment="1" applyProtection="1">
      <alignment horizontal="left" vertical="center"/>
    </xf>
    <xf numFmtId="0" fontId="9" fillId="2" borderId="61" xfId="0" applyFont="1" applyFill="1" applyBorder="1" applyAlignment="1" applyProtection="1">
      <alignment horizontal="left" vertical="center"/>
    </xf>
    <xf numFmtId="0" fontId="9" fillId="2" borderId="88" xfId="0" applyFont="1" applyFill="1" applyBorder="1" applyAlignment="1" applyProtection="1">
      <alignment horizontal="left" vertical="center" shrinkToFit="1"/>
    </xf>
    <xf numFmtId="0" fontId="9" fillId="2" borderId="86" xfId="0" applyFont="1" applyFill="1" applyBorder="1" applyAlignment="1" applyProtection="1">
      <alignment horizontal="center" vertical="center"/>
    </xf>
    <xf numFmtId="0" fontId="9" fillId="2" borderId="87" xfId="0" applyFont="1" applyFill="1" applyBorder="1" applyAlignment="1" applyProtection="1">
      <alignment horizontal="center" vertical="center"/>
    </xf>
    <xf numFmtId="0" fontId="9" fillId="2" borderId="88" xfId="0" applyFont="1" applyFill="1" applyBorder="1" applyAlignment="1" applyProtection="1">
      <alignment horizontal="center" vertical="center"/>
    </xf>
    <xf numFmtId="0" fontId="9" fillId="2" borderId="89" xfId="0" applyFont="1" applyFill="1" applyBorder="1" applyAlignment="1" applyProtection="1">
      <alignment horizontal="center" vertical="center" shrinkToFit="1"/>
    </xf>
    <xf numFmtId="0" fontId="9" fillId="2" borderId="90" xfId="0" applyFont="1" applyFill="1" applyBorder="1" applyAlignment="1" applyProtection="1">
      <alignment horizontal="center" vertical="center" shrinkToFit="1"/>
    </xf>
    <xf numFmtId="0" fontId="9" fillId="2" borderId="94" xfId="0" applyFont="1" applyFill="1" applyBorder="1" applyAlignment="1" applyProtection="1">
      <alignment horizontal="center" vertical="center" shrinkToFit="1"/>
    </xf>
    <xf numFmtId="0" fontId="9" fillId="6" borderId="86" xfId="0" applyFont="1" applyFill="1" applyBorder="1" applyAlignment="1" applyProtection="1">
      <alignment horizontal="center" vertical="center"/>
      <protection locked="0"/>
    </xf>
    <xf numFmtId="0" fontId="9" fillId="6" borderId="87" xfId="0" applyFont="1" applyFill="1" applyBorder="1" applyAlignment="1" applyProtection="1">
      <alignment horizontal="center" vertical="center"/>
      <protection locked="0"/>
    </xf>
    <xf numFmtId="0" fontId="9" fillId="6" borderId="88" xfId="0" applyFont="1" applyFill="1" applyBorder="1" applyAlignment="1" applyProtection="1">
      <alignment horizontal="center" vertical="center"/>
      <protection locked="0"/>
    </xf>
    <xf numFmtId="0" fontId="9" fillId="2" borderId="78" xfId="0" applyFont="1" applyFill="1" applyBorder="1" applyAlignment="1" applyProtection="1">
      <alignment horizontal="center" vertical="center" wrapText="1"/>
    </xf>
    <xf numFmtId="0" fontId="9" fillId="2" borderId="79" xfId="0" applyFont="1" applyFill="1" applyBorder="1" applyAlignment="1" applyProtection="1">
      <alignment horizontal="center" vertical="center" wrapText="1"/>
    </xf>
    <xf numFmtId="0" fontId="9" fillId="2" borderId="80" xfId="0" applyFont="1" applyFill="1" applyBorder="1" applyAlignment="1" applyProtection="1">
      <alignment horizontal="center" vertical="center" wrapText="1"/>
    </xf>
    <xf numFmtId="0" fontId="9" fillId="0" borderId="0" xfId="0" applyFont="1" applyAlignment="1" applyProtection="1">
      <alignment horizontal="center" vertical="center"/>
    </xf>
    <xf numFmtId="0" fontId="18" fillId="2" borderId="41" xfId="0" applyFont="1" applyFill="1" applyBorder="1" applyAlignment="1" applyProtection="1">
      <alignment horizontal="left" vertical="center" wrapText="1"/>
    </xf>
    <xf numFmtId="0" fontId="18" fillId="2" borderId="61" xfId="0" applyFont="1" applyFill="1" applyBorder="1" applyAlignment="1" applyProtection="1">
      <alignment horizontal="left" vertical="center" wrapText="1"/>
    </xf>
    <xf numFmtId="0" fontId="18" fillId="2" borderId="130" xfId="0" applyFont="1" applyFill="1" applyBorder="1" applyAlignment="1" applyProtection="1">
      <alignment horizontal="left" vertical="center" wrapText="1"/>
    </xf>
    <xf numFmtId="0" fontId="18" fillId="2" borderId="131" xfId="0" applyFont="1" applyFill="1" applyBorder="1" applyAlignment="1" applyProtection="1">
      <alignment horizontal="left" vertical="center" wrapText="1"/>
    </xf>
    <xf numFmtId="0" fontId="9" fillId="0" borderId="3" xfId="0" applyFont="1" applyBorder="1" applyAlignment="1">
      <alignment horizontal="center" vertical="center"/>
    </xf>
    <xf numFmtId="0" fontId="9" fillId="2" borderId="95" xfId="0" applyFont="1" applyFill="1" applyBorder="1" applyAlignment="1" applyProtection="1">
      <alignment horizontal="left" vertical="center"/>
    </xf>
    <xf numFmtId="0" fontId="29" fillId="2" borderId="0" xfId="0" applyFont="1" applyFill="1" applyAlignment="1">
      <alignment horizontal="left" vertical="center"/>
    </xf>
    <xf numFmtId="0" fontId="27" fillId="2" borderId="38" xfId="0" applyFont="1" applyFill="1" applyBorder="1" applyAlignment="1">
      <alignment horizontal="center" vertical="center"/>
    </xf>
    <xf numFmtId="0" fontId="27" fillId="2" borderId="39" xfId="0" applyFont="1" applyFill="1" applyBorder="1" applyAlignment="1">
      <alignment horizontal="center" vertical="center"/>
    </xf>
    <xf numFmtId="0" fontId="27" fillId="2" borderId="40" xfId="0" applyFont="1" applyFill="1" applyBorder="1" applyAlignment="1">
      <alignment horizontal="center" vertical="center"/>
    </xf>
    <xf numFmtId="0" fontId="18" fillId="2" borderId="90" xfId="0" applyFont="1" applyFill="1" applyBorder="1" applyAlignment="1" applyProtection="1">
      <alignment horizontal="center" vertical="center" wrapText="1"/>
    </xf>
    <xf numFmtId="0" fontId="18" fillId="2" borderId="79" xfId="0" applyFont="1" applyFill="1" applyBorder="1" applyAlignment="1" applyProtection="1">
      <alignment horizontal="center" vertical="center" wrapText="1"/>
    </xf>
    <xf numFmtId="0" fontId="9" fillId="2" borderId="96" xfId="0" applyFont="1" applyFill="1" applyBorder="1" applyAlignment="1" applyProtection="1">
      <alignment horizontal="center" vertical="center"/>
    </xf>
    <xf numFmtId="0" fontId="9" fillId="2" borderId="96" xfId="0" applyFont="1" applyFill="1" applyBorder="1" applyAlignment="1" applyProtection="1">
      <alignment horizontal="left" vertical="center" wrapText="1"/>
    </xf>
    <xf numFmtId="0" fontId="18" fillId="2" borderId="63" xfId="0" applyFont="1" applyFill="1" applyBorder="1" applyAlignment="1" applyProtection="1">
      <alignment horizontal="left" vertical="center" wrapText="1"/>
    </xf>
    <xf numFmtId="0" fontId="18" fillId="2" borderId="64" xfId="0" applyFont="1" applyFill="1" applyBorder="1" applyAlignment="1" applyProtection="1">
      <alignment horizontal="left" vertical="center" wrapText="1"/>
    </xf>
    <xf numFmtId="0" fontId="18" fillId="0" borderId="491" xfId="0" applyFont="1" applyFill="1" applyBorder="1" applyAlignment="1" applyProtection="1">
      <alignment horizontal="center" vertical="center" shrinkToFit="1"/>
    </xf>
    <xf numFmtId="0" fontId="18" fillId="0" borderId="493" xfId="0" applyFont="1" applyFill="1" applyBorder="1" applyAlignment="1" applyProtection="1">
      <alignment horizontal="center" vertical="center" shrinkToFit="1"/>
    </xf>
    <xf numFmtId="0" fontId="9" fillId="2" borderId="136" xfId="0" applyFont="1" applyFill="1" applyBorder="1" applyAlignment="1" applyProtection="1">
      <alignment horizontal="center" vertical="center" wrapText="1"/>
    </xf>
    <xf numFmtId="0" fontId="9" fillId="2" borderId="130" xfId="0" applyFont="1" applyFill="1" applyBorder="1" applyAlignment="1" applyProtection="1">
      <alignment horizontal="center" vertical="center" wrapText="1"/>
    </xf>
    <xf numFmtId="0" fontId="9" fillId="2" borderId="131" xfId="0" applyFont="1" applyFill="1" applyBorder="1" applyAlignment="1" applyProtection="1">
      <alignment horizontal="center" vertical="center" wrapText="1"/>
    </xf>
    <xf numFmtId="0" fontId="9" fillId="6" borderId="134" xfId="0" applyFont="1" applyFill="1" applyBorder="1" applyAlignment="1" applyProtection="1">
      <alignment horizontal="center" vertical="center" wrapText="1"/>
      <protection locked="0"/>
    </xf>
    <xf numFmtId="0" fontId="9" fillId="6" borderId="133" xfId="0" applyFont="1" applyFill="1" applyBorder="1" applyAlignment="1" applyProtection="1">
      <alignment horizontal="center" vertical="center" wrapText="1"/>
      <protection locked="0"/>
    </xf>
    <xf numFmtId="0" fontId="9" fillId="6" borderId="129" xfId="0" applyFont="1" applyFill="1" applyBorder="1" applyAlignment="1" applyProtection="1">
      <alignment horizontal="center" vertical="center" wrapText="1"/>
      <protection locked="0"/>
    </xf>
    <xf numFmtId="0" fontId="18" fillId="2" borderId="132" xfId="0" applyFont="1" applyFill="1" applyBorder="1" applyAlignment="1" applyProtection="1">
      <alignment horizontal="left" vertical="center" wrapText="1"/>
    </xf>
    <xf numFmtId="0" fontId="18" fillId="2" borderId="138" xfId="0" applyFont="1" applyFill="1" applyBorder="1" applyAlignment="1" applyProtection="1">
      <alignment horizontal="left" vertical="center" wrapText="1"/>
    </xf>
    <xf numFmtId="0" fontId="18" fillId="2" borderId="428" xfId="0" applyFont="1" applyFill="1" applyBorder="1" applyAlignment="1" applyProtection="1">
      <alignment horizontal="left" vertical="center" wrapText="1"/>
    </xf>
    <xf numFmtId="0" fontId="18" fillId="2" borderId="90" xfId="0" applyFont="1" applyFill="1" applyBorder="1" applyAlignment="1" applyProtection="1">
      <alignment horizontal="left" vertical="center" wrapText="1"/>
    </xf>
    <xf numFmtId="0" fontId="18" fillId="2" borderId="94" xfId="0" applyFont="1" applyFill="1" applyBorder="1" applyAlignment="1" applyProtection="1">
      <alignment horizontal="left" vertical="center" wrapText="1"/>
    </xf>
    <xf numFmtId="0" fontId="9" fillId="6" borderId="130" xfId="0" applyFont="1" applyFill="1" applyBorder="1" applyAlignment="1" applyProtection="1">
      <alignment horizontal="center" vertical="center" wrapText="1"/>
      <protection locked="0"/>
    </xf>
    <xf numFmtId="0" fontId="9" fillId="6" borderId="131" xfId="0" applyFont="1" applyFill="1" applyBorder="1" applyAlignment="1" applyProtection="1">
      <alignment horizontal="center" vertical="center" wrapText="1"/>
      <protection locked="0"/>
    </xf>
    <xf numFmtId="0" fontId="9" fillId="2" borderId="143" xfId="0" applyFont="1" applyFill="1" applyBorder="1" applyAlignment="1" applyProtection="1">
      <alignment horizontal="left" vertical="center" wrapText="1"/>
    </xf>
    <xf numFmtId="0" fontId="9" fillId="2" borderId="133"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33" xfId="0" applyFont="1" applyFill="1" applyBorder="1" applyAlignment="1" applyProtection="1">
      <alignment horizontal="center" vertical="center" wrapText="1"/>
    </xf>
    <xf numFmtId="0" fontId="31" fillId="2" borderId="9" xfId="0" applyFont="1" applyFill="1" applyBorder="1" applyAlignment="1" applyProtection="1">
      <alignment horizontal="left" vertical="center" wrapText="1"/>
    </xf>
    <xf numFmtId="0" fontId="9" fillId="2" borderId="130" xfId="0" applyFont="1" applyFill="1" applyBorder="1" applyAlignment="1" applyProtection="1">
      <alignment horizontal="left" vertical="center" wrapText="1"/>
    </xf>
    <xf numFmtId="0" fontId="9" fillId="4" borderId="130" xfId="0" applyFont="1" applyFill="1" applyBorder="1" applyAlignment="1" applyProtection="1">
      <alignment horizontal="center" vertical="center" wrapText="1"/>
      <protection locked="0"/>
    </xf>
    <xf numFmtId="0" fontId="9" fillId="4" borderId="244" xfId="0" applyFont="1" applyFill="1" applyBorder="1" applyAlignment="1" applyProtection="1">
      <alignment horizontal="center" vertical="center" wrapText="1"/>
      <protection locked="0"/>
    </xf>
    <xf numFmtId="0" fontId="9" fillId="2" borderId="79" xfId="0" applyFont="1" applyFill="1" applyBorder="1" applyAlignment="1" applyProtection="1">
      <alignment horizontal="center" vertical="center" shrinkToFit="1"/>
    </xf>
    <xf numFmtId="0" fontId="43" fillId="4" borderId="9" xfId="0" applyFont="1" applyFill="1" applyBorder="1" applyAlignment="1" applyProtection="1">
      <alignment horizontal="left" vertical="center" wrapText="1"/>
      <protection locked="0"/>
    </xf>
    <xf numFmtId="0" fontId="43" fillId="4" borderId="144" xfId="0" applyFont="1" applyFill="1" applyBorder="1" applyAlignment="1" applyProtection="1">
      <alignment horizontal="left" vertical="center" wrapText="1"/>
      <protection locked="0"/>
    </xf>
    <xf numFmtId="0" fontId="9" fillId="6" borderId="134" xfId="0" applyFont="1" applyFill="1" applyBorder="1" applyAlignment="1" applyProtection="1">
      <alignment horizontal="center" vertical="center"/>
      <protection locked="0"/>
    </xf>
    <xf numFmtId="0" fontId="9" fillId="6" borderId="129" xfId="0" applyFont="1" applyFill="1" applyBorder="1" applyAlignment="1" applyProtection="1">
      <alignment horizontal="center" vertical="center"/>
      <protection locked="0"/>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2" borderId="19"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89" xfId="0" applyFont="1" applyFill="1" applyBorder="1" applyAlignment="1">
      <alignment horizontal="center" vertical="center"/>
    </xf>
    <xf numFmtId="0" fontId="9" fillId="2" borderId="90"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9" xfId="0" applyFont="1" applyFill="1" applyBorder="1" applyAlignment="1">
      <alignment horizontal="center" vertical="center"/>
    </xf>
    <xf numFmtId="0" fontId="18" fillId="2" borderId="90" xfId="0" applyFont="1" applyFill="1" applyBorder="1" applyAlignment="1">
      <alignment horizontal="left" vertical="center" wrapText="1"/>
    </xf>
    <xf numFmtId="0" fontId="9" fillId="2" borderId="90" xfId="0" applyFont="1" applyFill="1" applyBorder="1" applyAlignment="1">
      <alignment horizontal="left" vertical="center" wrapText="1"/>
    </xf>
    <xf numFmtId="0" fontId="9" fillId="2" borderId="94"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0" xfId="0" applyFont="1" applyFill="1" applyAlignment="1">
      <alignment horizontal="left" vertical="center" wrapText="1"/>
    </xf>
    <xf numFmtId="0" fontId="9" fillId="6" borderId="9" xfId="0" applyFont="1" applyFill="1" applyBorder="1" applyAlignment="1" applyProtection="1">
      <alignment horizontal="center" vertical="center" wrapText="1"/>
      <protection locked="0"/>
    </xf>
    <xf numFmtId="0" fontId="9" fillId="0" borderId="9" xfId="0" applyFont="1" applyBorder="1" applyAlignment="1">
      <alignment horizontal="center" vertical="center" wrapText="1"/>
    </xf>
    <xf numFmtId="0" fontId="9" fillId="2" borderId="134" xfId="0" applyFont="1" applyFill="1" applyBorder="1" applyAlignment="1">
      <alignment horizontal="center" vertical="center"/>
    </xf>
    <xf numFmtId="0" fontId="9" fillId="2" borderId="133" xfId="0" applyFont="1" applyFill="1" applyBorder="1" applyAlignment="1">
      <alignment horizontal="center" vertical="center"/>
    </xf>
    <xf numFmtId="0" fontId="9" fillId="2" borderId="0" xfId="0" applyFont="1" applyFill="1" applyAlignment="1">
      <alignment vertical="center" wrapText="1"/>
    </xf>
    <xf numFmtId="0" fontId="9" fillId="2" borderId="9" xfId="0" applyFont="1" applyFill="1" applyBorder="1" applyAlignment="1">
      <alignment vertical="center" wrapText="1"/>
    </xf>
    <xf numFmtId="0" fontId="18" fillId="4" borderId="148" xfId="0" applyFont="1" applyFill="1" applyBorder="1" applyAlignment="1" applyProtection="1">
      <alignment horizontal="left" vertical="center" shrinkToFit="1"/>
      <protection locked="0"/>
    </xf>
    <xf numFmtId="0" fontId="18" fillId="4" borderId="149" xfId="0" applyFont="1" applyFill="1" applyBorder="1" applyAlignment="1" applyProtection="1">
      <alignment horizontal="left" vertical="center" shrinkToFit="1"/>
      <protection locked="0"/>
    </xf>
    <xf numFmtId="191" fontId="18" fillId="4" borderId="148" xfId="0" applyNumberFormat="1" applyFont="1" applyFill="1" applyBorder="1" applyAlignment="1" applyProtection="1">
      <alignment horizontal="center" vertical="center" shrinkToFit="1"/>
      <protection locked="0"/>
    </xf>
    <xf numFmtId="0" fontId="36" fillId="2" borderId="2" xfId="0" applyFont="1" applyFill="1" applyBorder="1" applyAlignment="1" applyProtection="1">
      <alignment horizontal="center" vertical="center"/>
    </xf>
    <xf numFmtId="191" fontId="18" fillId="4" borderId="146" xfId="0" applyNumberFormat="1" applyFont="1" applyFill="1" applyBorder="1" applyAlignment="1" applyProtection="1">
      <alignment horizontal="center" vertical="center" shrinkToFit="1"/>
      <protection locked="0"/>
    </xf>
    <xf numFmtId="0" fontId="18" fillId="4" borderId="150" xfId="0" applyFont="1" applyFill="1" applyBorder="1" applyAlignment="1" applyProtection="1">
      <alignment horizontal="left" vertical="center" shrinkToFit="1"/>
      <protection locked="0"/>
    </xf>
    <xf numFmtId="0" fontId="18" fillId="4" borderId="151" xfId="0" applyFont="1" applyFill="1" applyBorder="1" applyAlignment="1" applyProtection="1">
      <alignment horizontal="left" vertical="center" shrinkToFit="1"/>
      <protection locked="0"/>
    </xf>
    <xf numFmtId="0" fontId="18" fillId="4" borderId="146" xfId="0" applyFont="1" applyFill="1" applyBorder="1" applyAlignment="1" applyProtection="1">
      <alignment horizontal="left" vertical="center" shrinkToFit="1"/>
      <protection locked="0"/>
    </xf>
    <xf numFmtId="0" fontId="18" fillId="4" borderId="147" xfId="0" applyFont="1" applyFill="1" applyBorder="1" applyAlignment="1" applyProtection="1">
      <alignment horizontal="left" vertical="center" shrinkToFit="1"/>
      <protection locked="0"/>
    </xf>
    <xf numFmtId="191" fontId="18" fillId="4" borderId="150" xfId="0" applyNumberFormat="1" applyFont="1" applyFill="1" applyBorder="1" applyAlignment="1" applyProtection="1">
      <alignment horizontal="center" vertical="center" shrinkToFit="1"/>
      <protection locked="0"/>
    </xf>
    <xf numFmtId="191" fontId="18" fillId="4" borderId="152" xfId="0" applyNumberFormat="1" applyFont="1" applyFill="1" applyBorder="1" applyAlignment="1" applyProtection="1">
      <alignment horizontal="center" vertical="center" shrinkToFit="1"/>
      <protection locked="0"/>
    </xf>
    <xf numFmtId="0" fontId="36" fillId="2" borderId="10" xfId="0" applyFont="1" applyFill="1" applyBorder="1" applyAlignment="1" applyProtection="1">
      <alignment horizontal="center" vertical="center" textRotation="255"/>
    </xf>
    <xf numFmtId="0" fontId="36" fillId="2" borderId="34" xfId="0" applyFont="1" applyFill="1" applyBorder="1" applyAlignment="1" applyProtection="1">
      <alignment horizontal="center" vertical="center" textRotation="255"/>
    </xf>
    <xf numFmtId="0" fontId="36" fillId="2" borderId="35" xfId="0" applyFont="1" applyFill="1" applyBorder="1" applyAlignment="1" applyProtection="1">
      <alignment horizontal="center" vertical="center" textRotation="255"/>
    </xf>
    <xf numFmtId="0" fontId="36" fillId="2" borderId="42" xfId="0" applyFont="1" applyFill="1" applyBorder="1" applyAlignment="1" applyProtection="1">
      <alignment horizontal="center" vertical="center" textRotation="255"/>
    </xf>
    <xf numFmtId="0" fontId="36" fillId="2" borderId="65" xfId="0" applyFont="1" applyFill="1" applyBorder="1" applyAlignment="1" applyProtection="1">
      <alignment horizontal="center" vertical="center" textRotation="255"/>
    </xf>
    <xf numFmtId="0" fontId="36" fillId="2" borderId="29" xfId="0" applyFont="1" applyFill="1" applyBorder="1" applyAlignment="1" applyProtection="1">
      <alignment horizontal="center" vertical="center" textRotation="255"/>
    </xf>
    <xf numFmtId="0" fontId="18" fillId="2" borderId="146" xfId="0" applyFont="1" applyFill="1" applyBorder="1" applyAlignment="1" applyProtection="1">
      <alignment horizontal="center" vertical="center"/>
    </xf>
    <xf numFmtId="0" fontId="18" fillId="2" borderId="148" xfId="0" applyFont="1" applyFill="1" applyBorder="1" applyAlignment="1" applyProtection="1">
      <alignment horizontal="center" vertical="center"/>
    </xf>
    <xf numFmtId="0" fontId="18" fillId="2" borderId="150" xfId="0" applyFont="1" applyFill="1" applyBorder="1" applyAlignment="1" applyProtection="1">
      <alignment horizontal="center" vertical="center"/>
    </xf>
    <xf numFmtId="0" fontId="18" fillId="7" borderId="0" xfId="0" applyFont="1" applyFill="1" applyBorder="1" applyAlignment="1" applyProtection="1">
      <alignment horizontal="center" vertical="center" shrinkToFit="1"/>
    </xf>
    <xf numFmtId="0" fontId="36" fillId="2" borderId="43" xfId="0" applyFont="1" applyFill="1" applyBorder="1" applyAlignment="1" applyProtection="1">
      <alignment horizontal="center" vertical="center"/>
    </xf>
    <xf numFmtId="0" fontId="18" fillId="4" borderId="146" xfId="0" applyFont="1" applyFill="1" applyBorder="1" applyAlignment="1" applyProtection="1">
      <alignment horizontal="center" vertical="center" shrinkToFit="1"/>
      <protection locked="0"/>
    </xf>
    <xf numFmtId="0" fontId="18" fillId="4" borderId="147" xfId="0" applyFont="1" applyFill="1" applyBorder="1" applyAlignment="1" applyProtection="1">
      <alignment horizontal="center" vertical="center" shrinkToFit="1"/>
      <protection locked="0"/>
    </xf>
    <xf numFmtId="179" fontId="18" fillId="4" borderId="148" xfId="0" applyNumberFormat="1" applyFont="1" applyFill="1" applyBorder="1" applyAlignment="1" applyProtection="1">
      <alignment horizontal="center" vertical="center" shrinkToFit="1"/>
      <protection locked="0"/>
    </xf>
    <xf numFmtId="179" fontId="18" fillId="4" borderId="149" xfId="0" applyNumberFormat="1" applyFont="1" applyFill="1" applyBorder="1" applyAlignment="1" applyProtection="1">
      <alignment horizontal="center" vertical="center" shrinkToFit="1"/>
      <protection locked="0"/>
    </xf>
    <xf numFmtId="0" fontId="18" fillId="4" borderId="148" xfId="0" applyFont="1" applyFill="1" applyBorder="1" applyAlignment="1" applyProtection="1">
      <alignment horizontal="center" vertical="center" shrinkToFit="1"/>
      <protection locked="0"/>
    </xf>
    <xf numFmtId="0" fontId="18" fillId="4" borderId="149" xfId="0" applyFont="1" applyFill="1" applyBorder="1" applyAlignment="1" applyProtection="1">
      <alignment horizontal="center" vertical="center" shrinkToFit="1"/>
      <protection locked="0"/>
    </xf>
    <xf numFmtId="0" fontId="18" fillId="4" borderId="150" xfId="0" applyFont="1" applyFill="1" applyBorder="1" applyAlignment="1" applyProtection="1">
      <alignment horizontal="center" vertical="center" shrinkToFit="1"/>
      <protection locked="0"/>
    </xf>
    <xf numFmtId="0" fontId="18" fillId="4" borderId="151" xfId="0" applyFont="1" applyFill="1" applyBorder="1" applyAlignment="1" applyProtection="1">
      <alignment horizontal="center" vertical="center" shrinkToFit="1"/>
      <protection locked="0"/>
    </xf>
    <xf numFmtId="191" fontId="18" fillId="4" borderId="22" xfId="0" applyNumberFormat="1" applyFont="1" applyFill="1" applyBorder="1" applyAlignment="1" applyProtection="1">
      <alignment horizontal="center" vertical="center" shrinkToFit="1"/>
      <protection locked="0"/>
    </xf>
    <xf numFmtId="191" fontId="18" fillId="4" borderId="24" xfId="0" applyNumberFormat="1" applyFont="1" applyFill="1" applyBorder="1" applyAlignment="1" applyProtection="1">
      <alignment horizontal="center" vertical="center" shrinkToFit="1"/>
      <protection locked="0"/>
    </xf>
    <xf numFmtId="0" fontId="18" fillId="4" borderId="152" xfId="0" applyFont="1" applyFill="1" applyBorder="1" applyAlignment="1" applyProtection="1">
      <alignment horizontal="left" vertical="center" shrinkToFit="1"/>
      <protection locked="0"/>
    </xf>
    <xf numFmtId="0" fontId="18" fillId="4" borderId="153" xfId="0" applyFont="1" applyFill="1" applyBorder="1" applyAlignment="1" applyProtection="1">
      <alignment horizontal="left" vertical="center" shrinkToFit="1"/>
      <protection locked="0"/>
    </xf>
    <xf numFmtId="0" fontId="18" fillId="2" borderId="154" xfId="0" applyFont="1" applyFill="1" applyBorder="1" applyAlignment="1" applyProtection="1">
      <alignment horizontal="left" vertical="center" shrinkToFit="1"/>
    </xf>
    <xf numFmtId="0" fontId="18" fillId="2" borderId="150" xfId="0" applyFont="1" applyFill="1" applyBorder="1" applyAlignment="1" applyProtection="1">
      <alignment horizontal="left" vertical="center" shrinkToFit="1"/>
    </xf>
    <xf numFmtId="0" fontId="18" fillId="2" borderId="151" xfId="0" applyFont="1" applyFill="1" applyBorder="1" applyAlignment="1" applyProtection="1">
      <alignment horizontal="left" vertical="center" shrinkToFit="1"/>
    </xf>
    <xf numFmtId="0" fontId="52" fillId="2" borderId="338" xfId="3" applyFont="1" applyFill="1" applyBorder="1" applyAlignment="1" applyProtection="1">
      <alignment horizontal="center" vertical="center" shrinkToFit="1"/>
    </xf>
    <xf numFmtId="0" fontId="52" fillId="2" borderId="339" xfId="3" applyFont="1" applyFill="1" applyBorder="1" applyAlignment="1" applyProtection="1">
      <alignment horizontal="center" vertical="center" shrinkToFit="1"/>
    </xf>
    <xf numFmtId="213" fontId="52" fillId="2" borderId="245" xfId="3" applyNumberFormat="1" applyFont="1" applyFill="1" applyBorder="1" applyAlignment="1" applyProtection="1">
      <alignment horizontal="center" vertical="center" shrinkToFit="1"/>
    </xf>
    <xf numFmtId="213" fontId="52" fillId="2" borderId="127" xfId="3" applyNumberFormat="1" applyFont="1" applyFill="1" applyBorder="1" applyAlignment="1" applyProtection="1">
      <alignment horizontal="center" vertical="center" shrinkToFit="1"/>
    </xf>
    <xf numFmtId="0" fontId="52" fillId="2" borderId="315" xfId="3" applyFont="1" applyFill="1" applyBorder="1" applyAlignment="1" applyProtection="1">
      <alignment horizontal="center" vertical="center" shrinkToFit="1"/>
    </xf>
    <xf numFmtId="0" fontId="52" fillId="2" borderId="336" xfId="3" applyFont="1" applyFill="1" applyBorder="1" applyAlignment="1" applyProtection="1">
      <alignment horizontal="center" vertical="center" shrinkToFit="1"/>
    </xf>
    <xf numFmtId="0" fontId="35" fillId="2" borderId="0" xfId="3" applyFont="1" applyFill="1" applyBorder="1" applyAlignment="1" applyProtection="1">
      <alignment horizontal="center" vertical="center" shrinkToFit="1"/>
    </xf>
    <xf numFmtId="14" fontId="53" fillId="2" borderId="0" xfId="3" applyNumberFormat="1" applyFont="1" applyFill="1" applyAlignment="1" applyProtection="1">
      <alignment horizontal="left" vertical="center" shrinkToFit="1"/>
    </xf>
    <xf numFmtId="0" fontId="52" fillId="3" borderId="245" xfId="3" applyFont="1" applyFill="1" applyBorder="1" applyAlignment="1" applyProtection="1">
      <alignment horizontal="center" vertical="center" shrinkToFit="1"/>
    </xf>
    <xf numFmtId="0" fontId="52" fillId="3" borderId="127" xfId="3" applyFont="1" applyFill="1" applyBorder="1" applyAlignment="1" applyProtection="1">
      <alignment horizontal="center" vertical="center" shrinkToFit="1"/>
    </xf>
    <xf numFmtId="0" fontId="52" fillId="2" borderId="341" xfId="3" applyFont="1" applyFill="1" applyBorder="1" applyAlignment="1" applyProtection="1">
      <alignment horizontal="center" vertical="center" shrinkToFit="1"/>
    </xf>
    <xf numFmtId="0" fontId="52" fillId="2" borderId="342" xfId="3" applyFont="1" applyFill="1" applyBorder="1" applyAlignment="1" applyProtection="1">
      <alignment horizontal="center" vertical="center" shrinkToFit="1"/>
    </xf>
    <xf numFmtId="0" fontId="52" fillId="2" borderId="0" xfId="3" applyFont="1" applyFill="1" applyAlignment="1" applyProtection="1">
      <alignment horizontal="left" wrapText="1" shrinkToFit="1"/>
    </xf>
    <xf numFmtId="0" fontId="52" fillId="2" borderId="0" xfId="3" applyFont="1" applyFill="1" applyAlignment="1" applyProtection="1">
      <alignment horizontal="left" vertical="center" wrapText="1" shrinkToFit="1"/>
    </xf>
    <xf numFmtId="0" fontId="52" fillId="7" borderId="0" xfId="0" applyFont="1" applyFill="1" applyBorder="1" applyAlignment="1" applyProtection="1">
      <alignment horizontal="center" vertical="center" shrinkToFit="1"/>
    </xf>
    <xf numFmtId="0" fontId="52" fillId="2" borderId="0" xfId="3" applyFont="1" applyFill="1" applyAlignment="1" applyProtection="1">
      <alignment horizontal="left" vertical="center" shrinkToFit="1"/>
    </xf>
    <xf numFmtId="200" fontId="52" fillId="13" borderId="7" xfId="3" applyNumberFormat="1" applyFont="1" applyFill="1" applyBorder="1" applyAlignment="1" applyProtection="1">
      <alignment horizontal="center" vertical="center" shrinkToFit="1"/>
    </xf>
    <xf numFmtId="200" fontId="52" fillId="13" borderId="177" xfId="3" applyNumberFormat="1" applyFont="1" applyFill="1" applyBorder="1" applyAlignment="1" applyProtection="1">
      <alignment horizontal="center" vertical="center" shrinkToFit="1"/>
    </xf>
    <xf numFmtId="200" fontId="52" fillId="13" borderId="194" xfId="3" applyNumberFormat="1" applyFont="1" applyFill="1" applyBorder="1" applyAlignment="1" applyProtection="1">
      <alignment horizontal="center" vertical="center" shrinkToFit="1"/>
    </xf>
    <xf numFmtId="200" fontId="52" fillId="13" borderId="8" xfId="3" applyNumberFormat="1" applyFont="1" applyFill="1" applyBorder="1" applyAlignment="1" applyProtection="1">
      <alignment horizontal="center" vertical="center" shrinkToFit="1"/>
    </xf>
    <xf numFmtId="0" fontId="9" fillId="0" borderId="3" xfId="3" applyFont="1" applyFill="1" applyBorder="1" applyAlignment="1" applyProtection="1">
      <alignment horizontal="center" shrinkToFit="1"/>
    </xf>
    <xf numFmtId="200" fontId="52" fillId="13" borderId="2" xfId="3" applyNumberFormat="1" applyFont="1" applyFill="1" applyBorder="1" applyAlignment="1" applyProtection="1">
      <alignment horizontal="center" vertical="center" shrinkToFit="1"/>
    </xf>
    <xf numFmtId="0" fontId="25" fillId="2" borderId="0" xfId="3" applyFont="1" applyFill="1" applyBorder="1" applyAlignment="1" applyProtection="1">
      <alignment horizontal="center" vertical="center"/>
    </xf>
    <xf numFmtId="200" fontId="52" fillId="13" borderId="71" xfId="3" applyNumberFormat="1" applyFont="1" applyFill="1" applyBorder="1" applyAlignment="1" applyProtection="1">
      <alignment horizontal="center" vertical="center" shrinkToFit="1"/>
    </xf>
    <xf numFmtId="0" fontId="9" fillId="0" borderId="3" xfId="3" applyFont="1" applyBorder="1" applyAlignment="1" applyProtection="1">
      <alignment horizontal="center" vertical="center" shrinkToFit="1"/>
    </xf>
    <xf numFmtId="194" fontId="9" fillId="3" borderId="48" xfId="3" applyNumberFormat="1" applyFont="1" applyFill="1" applyBorder="1" applyAlignment="1" applyProtection="1">
      <alignment horizontal="center" vertical="center" shrinkToFit="1"/>
    </xf>
    <xf numFmtId="194" fontId="9" fillId="3" borderId="200" xfId="3" applyNumberFormat="1" applyFont="1" applyFill="1" applyBorder="1" applyAlignment="1" applyProtection="1">
      <alignment horizontal="center" vertical="center" shrinkToFit="1"/>
    </xf>
    <xf numFmtId="202" fontId="9" fillId="0" borderId="0" xfId="3" applyNumberFormat="1" applyFont="1" applyAlignment="1" applyProtection="1">
      <alignment horizontal="center" vertical="center" shrinkToFit="1"/>
    </xf>
    <xf numFmtId="200" fontId="51" fillId="2" borderId="44" xfId="3" applyNumberFormat="1" applyFont="1" applyFill="1" applyBorder="1" applyAlignment="1" applyProtection="1">
      <alignment horizontal="center" vertical="center" shrinkToFit="1"/>
    </xf>
    <xf numFmtId="200" fontId="51" fillId="2" borderId="47" xfId="3" applyNumberFormat="1" applyFont="1" applyFill="1" applyBorder="1" applyAlignment="1" applyProtection="1">
      <alignment horizontal="center" vertical="center" shrinkToFit="1"/>
    </xf>
    <xf numFmtId="200" fontId="51" fillId="2" borderId="6" xfId="3" applyNumberFormat="1" applyFont="1" applyFill="1" applyBorder="1" applyAlignment="1" applyProtection="1">
      <alignment horizontal="center" vertical="center" shrinkToFit="1"/>
    </xf>
    <xf numFmtId="200" fontId="51" fillId="2" borderId="51" xfId="3" applyNumberFormat="1" applyFont="1" applyFill="1" applyBorder="1" applyAlignment="1" applyProtection="1">
      <alignment horizontal="center" vertical="center" shrinkToFit="1"/>
    </xf>
    <xf numFmtId="0" fontId="9" fillId="7" borderId="0" xfId="0" applyFont="1" applyFill="1" applyBorder="1" applyAlignment="1" applyProtection="1">
      <alignment horizontal="center" vertical="center" shrinkToFit="1"/>
    </xf>
    <xf numFmtId="189" fontId="9" fillId="0" borderId="3" xfId="3" applyNumberFormat="1" applyFont="1" applyFill="1" applyBorder="1" applyAlignment="1" applyProtection="1">
      <alignment horizontal="center" vertical="center" shrinkToFit="1"/>
    </xf>
    <xf numFmtId="194" fontId="9" fillId="3" borderId="67" xfId="3" applyNumberFormat="1" applyFont="1" applyFill="1" applyBorder="1" applyAlignment="1" applyProtection="1">
      <alignment horizontal="center" vertical="center" shrinkToFit="1"/>
    </xf>
    <xf numFmtId="0" fontId="25" fillId="2" borderId="36" xfId="3" applyFont="1" applyFill="1" applyBorder="1" applyAlignment="1" applyProtection="1">
      <alignment horizontal="center" vertical="center"/>
    </xf>
    <xf numFmtId="200" fontId="51" fillId="2" borderId="49" xfId="3" applyNumberFormat="1" applyFont="1" applyFill="1" applyBorder="1" applyAlignment="1" applyProtection="1">
      <alignment horizontal="center" vertical="center" shrinkToFit="1"/>
    </xf>
    <xf numFmtId="0" fontId="47" fillId="2" borderId="0" xfId="0" applyFont="1" applyFill="1" applyAlignment="1" applyProtection="1">
      <alignment horizontal="center" vertical="center" wrapText="1"/>
    </xf>
    <xf numFmtId="0" fontId="40" fillId="0" borderId="3" xfId="0" applyFont="1" applyBorder="1" applyAlignment="1" applyProtection="1">
      <alignment horizontal="center" vertical="center"/>
    </xf>
    <xf numFmtId="0" fontId="44" fillId="7" borderId="0" xfId="0" applyFont="1" applyFill="1" applyBorder="1" applyAlignment="1" applyProtection="1">
      <alignment horizontal="center" vertical="center" shrinkToFit="1"/>
    </xf>
    <xf numFmtId="179" fontId="44" fillId="2" borderId="0" xfId="0" applyNumberFormat="1" applyFont="1" applyFill="1" applyBorder="1" applyAlignment="1" applyProtection="1">
      <alignment horizontal="center" vertical="center" shrinkToFit="1"/>
    </xf>
    <xf numFmtId="179" fontId="47" fillId="2" borderId="0" xfId="0" applyNumberFormat="1" applyFont="1" applyFill="1" applyAlignment="1" applyProtection="1">
      <alignment horizontal="center" vertical="center"/>
    </xf>
    <xf numFmtId="0" fontId="47" fillId="2" borderId="0" xfId="0" applyFont="1" applyFill="1" applyAlignment="1" applyProtection="1">
      <alignment horizontal="left" vertical="center" wrapText="1"/>
    </xf>
    <xf numFmtId="9" fontId="47" fillId="2" borderId="54" xfId="5" applyNumberFormat="1" applyFont="1" applyFill="1" applyBorder="1" applyAlignment="1" applyProtection="1">
      <alignment horizontal="center" vertical="center"/>
    </xf>
    <xf numFmtId="9" fontId="47" fillId="2" borderId="40" xfId="5" applyNumberFormat="1" applyFont="1" applyFill="1" applyBorder="1" applyAlignment="1" applyProtection="1">
      <alignment horizontal="center" vertical="center"/>
    </xf>
    <xf numFmtId="0" fontId="47" fillId="2" borderId="0" xfId="0" applyFont="1" applyFill="1" applyAlignment="1" applyProtection="1">
      <alignment horizontal="left" vertical="center" shrinkToFit="1"/>
    </xf>
    <xf numFmtId="0" fontId="47" fillId="2" borderId="0" xfId="0" applyFont="1" applyFill="1" applyAlignment="1" applyProtection="1">
      <alignment horizontal="left" vertical="center"/>
    </xf>
    <xf numFmtId="0" fontId="48" fillId="2" borderId="0" xfId="0" applyFont="1" applyFill="1" applyBorder="1" applyAlignment="1" applyProtection="1">
      <alignment horizontal="left" vertical="center"/>
    </xf>
    <xf numFmtId="0" fontId="47" fillId="2" borderId="0" xfId="0" applyFont="1" applyFill="1" applyAlignment="1" applyProtection="1">
      <alignment horizontal="center" vertical="center"/>
    </xf>
    <xf numFmtId="0" fontId="47" fillId="5" borderId="0" xfId="0" applyFont="1" applyFill="1" applyAlignment="1" applyProtection="1">
      <alignment horizontal="center" vertical="center"/>
      <protection locked="0"/>
    </xf>
    <xf numFmtId="0" fontId="47" fillId="2" borderId="3" xfId="0" applyFont="1" applyFill="1" applyBorder="1" applyAlignment="1" applyProtection="1">
      <alignment horizontal="center" vertical="center"/>
    </xf>
    <xf numFmtId="0" fontId="46" fillId="2" borderId="9" xfId="0" applyFont="1" applyFill="1" applyBorder="1" applyAlignment="1" applyProtection="1">
      <alignment horizontal="left" vertical="center"/>
    </xf>
    <xf numFmtId="0" fontId="47" fillId="2" borderId="177" xfId="0" applyFont="1" applyFill="1" applyBorder="1" applyAlignment="1" applyProtection="1">
      <alignment horizontal="center" vertical="center"/>
    </xf>
    <xf numFmtId="0" fontId="47" fillId="2" borderId="194" xfId="0" applyFont="1" applyFill="1" applyBorder="1" applyAlignment="1" applyProtection="1">
      <alignment horizontal="center" vertical="center"/>
    </xf>
    <xf numFmtId="0" fontId="47" fillId="2" borderId="38" xfId="0" applyFont="1" applyFill="1" applyBorder="1" applyAlignment="1" applyProtection="1">
      <alignment horizontal="center" vertical="center"/>
    </xf>
    <xf numFmtId="0" fontId="47" fillId="2" borderId="100" xfId="0" applyFont="1" applyFill="1" applyBorder="1" applyAlignment="1" applyProtection="1">
      <alignment horizontal="center" vertical="center"/>
    </xf>
    <xf numFmtId="0" fontId="47" fillId="2" borderId="9" xfId="0" applyFont="1" applyFill="1" applyBorder="1" applyAlignment="1" applyProtection="1">
      <alignment horizontal="center" vertical="center"/>
    </xf>
    <xf numFmtId="0" fontId="46" fillId="2" borderId="0" xfId="0" applyFont="1" applyFill="1" applyBorder="1" applyAlignment="1" applyProtection="1">
      <alignment horizontal="left" vertical="center"/>
    </xf>
    <xf numFmtId="0" fontId="40" fillId="2" borderId="55" xfId="0" applyFont="1" applyFill="1" applyBorder="1" applyAlignment="1" applyProtection="1">
      <alignment horizontal="center" vertical="center" wrapText="1" shrinkToFit="1"/>
    </xf>
    <xf numFmtId="0" fontId="40" fillId="2" borderId="253" xfId="0" applyFont="1" applyFill="1" applyBorder="1" applyAlignment="1" applyProtection="1">
      <alignment horizontal="center" vertical="center" wrapText="1" shrinkToFit="1"/>
    </xf>
    <xf numFmtId="0" fontId="47" fillId="2" borderId="55" xfId="0" applyFont="1" applyFill="1" applyBorder="1" applyAlignment="1" applyProtection="1">
      <alignment horizontal="center" vertical="center"/>
    </xf>
    <xf numFmtId="0" fontId="47" fillId="2" borderId="253" xfId="0" applyFont="1" applyFill="1" applyBorder="1" applyAlignment="1" applyProtection="1">
      <alignment horizontal="center" vertical="center"/>
    </xf>
    <xf numFmtId="9" fontId="47" fillId="2" borderId="55" xfId="5" applyNumberFormat="1" applyFont="1" applyFill="1" applyBorder="1" applyAlignment="1" applyProtection="1">
      <alignment horizontal="center" vertical="center"/>
    </xf>
    <xf numFmtId="9" fontId="47" fillId="2" borderId="253" xfId="5" applyNumberFormat="1" applyFont="1" applyFill="1" applyBorder="1" applyAlignment="1" applyProtection="1">
      <alignment horizontal="center" vertical="center"/>
    </xf>
    <xf numFmtId="0" fontId="46" fillId="2" borderId="30" xfId="0" applyFont="1" applyFill="1" applyBorder="1" applyAlignment="1" applyProtection="1">
      <alignment horizontal="left" vertical="center"/>
    </xf>
    <xf numFmtId="0" fontId="46" fillId="2" borderId="0" xfId="0" applyFont="1" applyFill="1" applyAlignment="1" applyProtection="1">
      <alignment horizontal="left" vertical="center"/>
    </xf>
    <xf numFmtId="0" fontId="47" fillId="5" borderId="0" xfId="0" applyFont="1" applyFill="1" applyAlignment="1" applyProtection="1">
      <alignment horizontal="left" vertical="center" shrinkToFit="1"/>
      <protection locked="0"/>
    </xf>
    <xf numFmtId="0" fontId="47" fillId="5" borderId="0" xfId="0" applyFont="1" applyFill="1" applyAlignment="1" applyProtection="1">
      <alignment horizontal="left" vertical="center"/>
      <protection locked="0"/>
    </xf>
    <xf numFmtId="0" fontId="66" fillId="2" borderId="0" xfId="0" applyFont="1" applyFill="1" applyAlignment="1" applyProtection="1">
      <alignment horizontal="center" vertical="center"/>
    </xf>
    <xf numFmtId="0" fontId="58" fillId="2" borderId="0" xfId="0" applyFont="1" applyFill="1" applyAlignment="1" applyProtection="1">
      <alignment horizontal="center" vertical="center"/>
    </xf>
    <xf numFmtId="0" fontId="47" fillId="6" borderId="0" xfId="0" applyFont="1" applyFill="1" applyAlignment="1" applyProtection="1">
      <alignment horizontal="center" vertical="center"/>
      <protection locked="0"/>
    </xf>
    <xf numFmtId="0" fontId="47" fillId="4" borderId="0" xfId="0" applyFont="1" applyFill="1" applyAlignment="1" applyProtection="1">
      <alignment horizontal="center" vertical="center"/>
      <protection locked="0"/>
    </xf>
    <xf numFmtId="0" fontId="49" fillId="2" borderId="0" xfId="3" applyFont="1" applyFill="1" applyBorder="1" applyAlignment="1" applyProtection="1">
      <alignment horizontal="left" vertical="center" wrapText="1"/>
    </xf>
    <xf numFmtId="0" fontId="40" fillId="6" borderId="130" xfId="0" applyFont="1" applyFill="1" applyBorder="1" applyAlignment="1" applyProtection="1">
      <alignment horizontal="center" vertical="center" shrinkToFit="1"/>
      <protection locked="0"/>
    </xf>
    <xf numFmtId="0" fontId="40" fillId="6" borderId="208" xfId="0" applyFont="1" applyFill="1" applyBorder="1" applyAlignment="1" applyProtection="1">
      <alignment horizontal="center" vertical="center" shrinkToFit="1"/>
      <protection locked="0"/>
    </xf>
    <xf numFmtId="0" fontId="40" fillId="2" borderId="0" xfId="0" applyFont="1" applyFill="1" applyBorder="1" applyAlignment="1" applyProtection="1">
      <alignment horizontal="left" vertical="center" wrapText="1"/>
    </xf>
    <xf numFmtId="0" fontId="40" fillId="2" borderId="36" xfId="0" applyFont="1" applyFill="1" applyBorder="1" applyAlignment="1" applyProtection="1">
      <alignment horizontal="left" vertical="center" wrapText="1"/>
    </xf>
    <xf numFmtId="0" fontId="40" fillId="2" borderId="212" xfId="0" applyFont="1" applyFill="1" applyBorder="1" applyAlignment="1" applyProtection="1">
      <alignment horizontal="center" vertical="center"/>
    </xf>
    <xf numFmtId="0" fontId="40" fillId="2" borderId="130" xfId="0" applyFont="1" applyFill="1" applyBorder="1" applyAlignment="1" applyProtection="1">
      <alignment horizontal="center" vertical="center"/>
    </xf>
    <xf numFmtId="0" fontId="40" fillId="2" borderId="131" xfId="0" applyFont="1" applyFill="1" applyBorder="1" applyAlignment="1" applyProtection="1">
      <alignment horizontal="center" vertical="center"/>
    </xf>
    <xf numFmtId="0" fontId="40" fillId="4" borderId="178" xfId="0" applyFont="1" applyFill="1" applyBorder="1" applyAlignment="1" applyProtection="1">
      <alignment horizontal="center" vertical="center" shrinkToFit="1"/>
      <protection locked="0"/>
    </xf>
    <xf numFmtId="0" fontId="40" fillId="4" borderId="209" xfId="0" applyFont="1" applyFill="1" applyBorder="1" applyAlignment="1" applyProtection="1">
      <alignment horizontal="center" vertical="center" shrinkToFit="1"/>
      <protection locked="0"/>
    </xf>
    <xf numFmtId="0" fontId="40" fillId="4" borderId="210" xfId="0" applyFont="1" applyFill="1" applyBorder="1" applyAlignment="1" applyProtection="1">
      <alignment horizontal="center" vertical="center" shrinkToFit="1"/>
      <protection locked="0"/>
    </xf>
    <xf numFmtId="0" fontId="40" fillId="2" borderId="214" xfId="0" applyFont="1" applyFill="1" applyBorder="1" applyAlignment="1" applyProtection="1">
      <alignment horizontal="center" vertical="center"/>
    </xf>
    <xf numFmtId="0" fontId="40" fillId="2" borderId="133" xfId="0" applyFont="1" applyFill="1" applyBorder="1" applyAlignment="1" applyProtection="1">
      <alignment horizontal="center" vertical="center"/>
    </xf>
    <xf numFmtId="0" fontId="40" fillId="2" borderId="129" xfId="0" applyFont="1" applyFill="1" applyBorder="1" applyAlignment="1" applyProtection="1">
      <alignment horizontal="center" vertical="center"/>
    </xf>
    <xf numFmtId="0" fontId="40" fillId="2" borderId="34" xfId="0" applyFont="1" applyFill="1" applyBorder="1" applyAlignment="1" applyProtection="1">
      <alignment horizontal="center" vertical="center"/>
    </xf>
    <xf numFmtId="0" fontId="40" fillId="2" borderId="0" xfId="0" applyFont="1" applyFill="1" applyBorder="1" applyAlignment="1" applyProtection="1">
      <alignment horizontal="center" vertical="center"/>
    </xf>
    <xf numFmtId="0" fontId="40" fillId="2" borderId="14" xfId="0" applyFont="1" applyFill="1" applyBorder="1" applyAlignment="1" applyProtection="1">
      <alignment horizontal="center" vertical="center"/>
    </xf>
    <xf numFmtId="0" fontId="40" fillId="4" borderId="134" xfId="0" applyFont="1" applyFill="1" applyBorder="1" applyAlignment="1" applyProtection="1">
      <alignment horizontal="left" vertical="top" wrapText="1"/>
      <protection locked="0"/>
    </xf>
    <xf numFmtId="0" fontId="40" fillId="4" borderId="133" xfId="0" applyFont="1" applyFill="1" applyBorder="1" applyAlignment="1" applyProtection="1">
      <alignment horizontal="left" vertical="top" wrapText="1"/>
      <protection locked="0"/>
    </xf>
    <xf numFmtId="0" fontId="40" fillId="4" borderId="215" xfId="0" applyFont="1" applyFill="1" applyBorder="1" applyAlignment="1" applyProtection="1">
      <alignment horizontal="left" vertical="top" wrapText="1"/>
      <protection locked="0"/>
    </xf>
    <xf numFmtId="0" fontId="40" fillId="4" borderId="20" xfId="0" applyFont="1" applyFill="1" applyBorder="1" applyAlignment="1" applyProtection="1">
      <alignment horizontal="left" vertical="top" wrapText="1"/>
      <protection locked="0"/>
    </xf>
    <xf numFmtId="0" fontId="40" fillId="4" borderId="0" xfId="0" applyFont="1" applyFill="1" applyBorder="1" applyAlignment="1" applyProtection="1">
      <alignment horizontal="left" vertical="top" wrapText="1"/>
      <protection locked="0"/>
    </xf>
    <xf numFmtId="0" fontId="40" fillId="4" borderId="32" xfId="0" applyFont="1" applyFill="1" applyBorder="1" applyAlignment="1" applyProtection="1">
      <alignment horizontal="left" vertical="top" wrapText="1"/>
      <protection locked="0"/>
    </xf>
    <xf numFmtId="0" fontId="40" fillId="2" borderId="217" xfId="0" applyFont="1" applyFill="1" applyBorder="1" applyAlignment="1" applyProtection="1">
      <alignment horizontal="center" vertical="center"/>
    </xf>
    <xf numFmtId="0" fontId="40" fillId="2" borderId="218" xfId="0" applyFont="1" applyFill="1" applyBorder="1" applyAlignment="1" applyProtection="1">
      <alignment horizontal="center" vertical="center"/>
    </xf>
    <xf numFmtId="0" fontId="40" fillId="2" borderId="209" xfId="0" applyFont="1" applyFill="1" applyBorder="1" applyAlignment="1" applyProtection="1">
      <alignment horizontal="center" vertical="center"/>
    </xf>
    <xf numFmtId="0" fontId="40" fillId="2" borderId="179" xfId="0" applyFont="1" applyFill="1" applyBorder="1" applyAlignment="1" applyProtection="1">
      <alignment horizontal="center" vertical="center"/>
    </xf>
    <xf numFmtId="0" fontId="40" fillId="6" borderId="136" xfId="0" applyFont="1" applyFill="1" applyBorder="1" applyAlignment="1" applyProtection="1">
      <alignment horizontal="center" vertical="center" shrinkToFit="1"/>
      <protection locked="0"/>
    </xf>
    <xf numFmtId="0" fontId="40" fillId="2" borderId="121" xfId="0" applyFont="1" applyFill="1" applyBorder="1" applyAlignment="1" applyProtection="1">
      <alignment horizontal="center" vertical="center"/>
    </xf>
    <xf numFmtId="0" fontId="40" fillId="2" borderId="122" xfId="0" applyFont="1" applyFill="1" applyBorder="1" applyAlignment="1" applyProtection="1">
      <alignment horizontal="center" vertical="center"/>
    </xf>
    <xf numFmtId="0" fontId="40" fillId="4" borderId="130" xfId="0" applyFont="1" applyFill="1" applyBorder="1" applyAlignment="1" applyProtection="1">
      <alignment horizontal="center" vertical="center" shrinkToFit="1"/>
      <protection locked="0"/>
    </xf>
    <xf numFmtId="0" fontId="40" fillId="4" borderId="208" xfId="0" applyFont="1" applyFill="1" applyBorder="1" applyAlignment="1" applyProtection="1">
      <alignment horizontal="center" vertical="center" shrinkToFit="1"/>
      <protection locked="0"/>
    </xf>
    <xf numFmtId="0" fontId="40" fillId="6" borderId="178" xfId="0" applyFont="1" applyFill="1" applyBorder="1" applyAlignment="1" applyProtection="1">
      <alignment horizontal="center" vertical="center" shrinkToFit="1"/>
      <protection locked="0"/>
    </xf>
    <xf numFmtId="0" fontId="40" fillId="6" borderId="209" xfId="0" applyFont="1" applyFill="1" applyBorder="1" applyAlignment="1" applyProtection="1">
      <alignment horizontal="center" vertical="center" shrinkToFit="1"/>
      <protection locked="0"/>
    </xf>
    <xf numFmtId="0" fontId="40" fillId="6" borderId="210" xfId="0" applyFont="1" applyFill="1" applyBorder="1" applyAlignment="1" applyProtection="1">
      <alignment horizontal="center" vertical="center" shrinkToFit="1"/>
      <protection locked="0"/>
    </xf>
    <xf numFmtId="0" fontId="60" fillId="3" borderId="98" xfId="0" applyFont="1" applyFill="1" applyBorder="1" applyAlignment="1" applyProtection="1">
      <alignment horizontal="center" vertical="center"/>
    </xf>
    <xf numFmtId="0" fontId="60" fillId="3" borderId="50" xfId="0" applyFont="1" applyFill="1" applyBorder="1" applyAlignment="1" applyProtection="1">
      <alignment horizontal="center" vertical="center"/>
    </xf>
    <xf numFmtId="0" fontId="60" fillId="3" borderId="91" xfId="0" applyFont="1" applyFill="1" applyBorder="1" applyAlignment="1" applyProtection="1">
      <alignment horizontal="center" vertical="center"/>
    </xf>
    <xf numFmtId="0" fontId="40" fillId="2" borderId="30" xfId="0" applyFont="1" applyFill="1" applyBorder="1" applyAlignment="1" applyProtection="1">
      <alignment horizontal="center" vertical="center"/>
    </xf>
    <xf numFmtId="0" fontId="40" fillId="2" borderId="15" xfId="0" applyFont="1" applyFill="1" applyBorder="1" applyAlignment="1" applyProtection="1">
      <alignment horizontal="center" vertical="center"/>
    </xf>
    <xf numFmtId="0" fontId="49" fillId="7" borderId="0" xfId="0" applyFont="1" applyFill="1" applyBorder="1" applyAlignment="1" applyProtection="1">
      <alignment horizontal="center" vertical="center" shrinkToFit="1"/>
    </xf>
    <xf numFmtId="0" fontId="40" fillId="2" borderId="139" xfId="0" applyFont="1" applyFill="1" applyBorder="1" applyAlignment="1" applyProtection="1">
      <alignment horizontal="center" vertical="center" wrapText="1"/>
    </xf>
    <xf numFmtId="0" fontId="40" fillId="2" borderId="140" xfId="0" applyFont="1" applyFill="1" applyBorder="1" applyAlignment="1" applyProtection="1">
      <alignment horizontal="center" vertical="center" wrapText="1"/>
    </xf>
    <xf numFmtId="0" fontId="40" fillId="2" borderId="121" xfId="0" applyFont="1" applyFill="1" applyBorder="1" applyAlignment="1" applyProtection="1">
      <alignment horizontal="center" vertical="center" wrapText="1"/>
    </xf>
    <xf numFmtId="0" fontId="40" fillId="2" borderId="213" xfId="0" applyFont="1" applyFill="1" applyBorder="1" applyAlignment="1" applyProtection="1">
      <alignment horizontal="center" vertical="center"/>
    </xf>
    <xf numFmtId="0" fontId="40" fillId="2" borderId="92" xfId="0" applyFont="1" applyFill="1" applyBorder="1" applyAlignment="1" applyProtection="1">
      <alignment horizontal="center" vertical="center"/>
    </xf>
    <xf numFmtId="0" fontId="40" fillId="2" borderId="216" xfId="0" applyFont="1" applyFill="1" applyBorder="1" applyAlignment="1" applyProtection="1">
      <alignment horizontal="center" vertical="center"/>
    </xf>
    <xf numFmtId="0" fontId="40" fillId="2" borderId="143" xfId="0" applyFont="1" applyFill="1" applyBorder="1" applyAlignment="1" applyProtection="1">
      <alignment horizontal="center" vertical="center"/>
    </xf>
    <xf numFmtId="0" fontId="40" fillId="2" borderId="211" xfId="0" applyFont="1" applyFill="1" applyBorder="1" applyAlignment="1" applyProtection="1">
      <alignment horizontal="center" vertical="center"/>
    </xf>
    <xf numFmtId="0" fontId="40" fillId="2" borderId="142" xfId="0" applyFont="1" applyFill="1" applyBorder="1" applyAlignment="1" applyProtection="1">
      <alignment horizontal="center" vertical="center"/>
    </xf>
    <xf numFmtId="0" fontId="40" fillId="4" borderId="206" xfId="0" applyFont="1" applyFill="1" applyBorder="1" applyAlignment="1" applyProtection="1">
      <alignment horizontal="center" vertical="center" shrinkToFit="1"/>
      <protection locked="0"/>
    </xf>
    <xf numFmtId="0" fontId="40" fillId="4" borderId="207" xfId="0" applyFont="1" applyFill="1" applyBorder="1" applyAlignment="1" applyProtection="1">
      <alignment horizontal="center" vertical="center" shrinkToFit="1"/>
      <protection locked="0"/>
    </xf>
    <xf numFmtId="0" fontId="60" fillId="2" borderId="38" xfId="0" applyFont="1" applyFill="1" applyBorder="1" applyAlignment="1" applyProtection="1">
      <alignment horizontal="center" vertical="center" wrapText="1"/>
    </xf>
    <xf numFmtId="0" fontId="60" fillId="2" borderId="39" xfId="0" applyFont="1" applyFill="1" applyBorder="1" applyAlignment="1" applyProtection="1">
      <alignment horizontal="center" vertical="center" wrapText="1"/>
    </xf>
    <xf numFmtId="0" fontId="40" fillId="4" borderId="136" xfId="0" applyFont="1" applyFill="1" applyBorder="1" applyAlignment="1" applyProtection="1">
      <alignment horizontal="center" vertical="center" shrinkToFit="1"/>
      <protection locked="0"/>
    </xf>
    <xf numFmtId="0" fontId="60" fillId="2" borderId="54" xfId="0" applyFont="1" applyFill="1" applyBorder="1" applyAlignment="1" applyProtection="1">
      <alignment horizontal="center" vertical="center" wrapText="1"/>
    </xf>
    <xf numFmtId="0" fontId="18" fillId="0" borderId="38" xfId="0" applyFont="1" applyBorder="1" applyAlignment="1" applyProtection="1">
      <alignment horizontal="center" vertical="center"/>
    </xf>
    <xf numFmtId="0" fontId="18" fillId="0" borderId="39" xfId="0" applyFont="1" applyBorder="1" applyAlignment="1" applyProtection="1">
      <alignment horizontal="center" vertical="center"/>
    </xf>
    <xf numFmtId="0" fontId="18" fillId="0" borderId="40" xfId="0" applyFont="1" applyBorder="1" applyAlignment="1" applyProtection="1">
      <alignment horizontal="center" vertical="center"/>
    </xf>
    <xf numFmtId="0" fontId="9" fillId="3" borderId="298" xfId="3" applyFont="1" applyFill="1" applyBorder="1" applyAlignment="1" applyProtection="1">
      <alignment horizontal="center" vertical="center" shrinkToFit="1"/>
    </xf>
    <xf numFmtId="0" fontId="9" fillId="3" borderId="295" xfId="3" applyFont="1" applyFill="1" applyBorder="1" applyAlignment="1" applyProtection="1">
      <alignment horizontal="center" vertical="center" shrinkToFit="1"/>
    </xf>
    <xf numFmtId="193" fontId="9" fillId="3" borderId="198" xfId="3" applyNumberFormat="1" applyFont="1" applyFill="1" applyBorder="1" applyAlignment="1" applyProtection="1">
      <alignment horizontal="center" vertical="center" shrinkToFit="1"/>
    </xf>
    <xf numFmtId="193" fontId="9" fillId="3" borderId="297" xfId="3" applyNumberFormat="1" applyFont="1" applyFill="1" applyBorder="1" applyAlignment="1" applyProtection="1">
      <alignment horizontal="center" vertical="center" shrinkToFit="1"/>
    </xf>
    <xf numFmtId="0" fontId="31" fillId="3" borderId="196" xfId="3" applyFont="1" applyFill="1" applyBorder="1" applyAlignment="1" applyProtection="1">
      <alignment horizontal="center" vertical="center" wrapText="1" shrinkToFit="1"/>
    </xf>
    <xf numFmtId="0" fontId="31" fillId="3" borderId="276" xfId="3" applyFont="1" applyFill="1" applyBorder="1" applyAlignment="1" applyProtection="1">
      <alignment horizontal="center" vertical="center" shrinkToFit="1"/>
    </xf>
    <xf numFmtId="0" fontId="9" fillId="3" borderId="196" xfId="3" applyFont="1" applyFill="1" applyBorder="1" applyAlignment="1" applyProtection="1">
      <alignment horizontal="center" vertical="center" shrinkToFit="1"/>
    </xf>
    <xf numFmtId="0" fontId="9" fillId="3" borderId="276" xfId="3" applyFont="1" applyFill="1" applyBorder="1" applyAlignment="1" applyProtection="1">
      <alignment horizontal="center" vertical="center" shrinkToFit="1"/>
    </xf>
    <xf numFmtId="0" fontId="9" fillId="3" borderId="198" xfId="3" applyFont="1" applyFill="1" applyBorder="1" applyAlignment="1" applyProtection="1">
      <alignment horizontal="center" vertical="center" shrinkToFit="1"/>
    </xf>
    <xf numFmtId="0" fontId="9" fillId="3" borderId="297" xfId="3" applyFont="1" applyFill="1" applyBorder="1" applyAlignment="1" applyProtection="1">
      <alignment horizontal="center" vertical="center" shrinkToFit="1"/>
    </xf>
    <xf numFmtId="0" fontId="9" fillId="3" borderId="27" xfId="3" applyFont="1" applyFill="1" applyBorder="1" applyAlignment="1" applyProtection="1">
      <alignment horizontal="center" vertical="center" shrinkToFit="1"/>
    </xf>
    <xf numFmtId="0" fontId="9" fillId="3" borderId="11" xfId="3" applyFont="1" applyFill="1" applyBorder="1" applyAlignment="1" applyProtection="1">
      <alignment horizontal="center" vertical="center" shrinkToFit="1"/>
    </xf>
    <xf numFmtId="0" fontId="9" fillId="3" borderId="33" xfId="3" applyFont="1" applyFill="1" applyBorder="1" applyAlignment="1" applyProtection="1">
      <alignment horizontal="center" vertical="center" shrinkToFit="1"/>
    </xf>
    <xf numFmtId="0" fontId="9" fillId="3" borderId="20" xfId="3" applyFont="1" applyFill="1" applyBorder="1" applyAlignment="1" applyProtection="1">
      <alignment horizontal="center" vertical="center" shrinkToFit="1"/>
    </xf>
    <xf numFmtId="0" fontId="9" fillId="3" borderId="53" xfId="3" applyFont="1" applyFill="1" applyBorder="1" applyAlignment="1" applyProtection="1">
      <alignment horizontal="center" vertical="center" shrinkToFit="1"/>
    </xf>
    <xf numFmtId="0" fontId="18" fillId="0" borderId="414" xfId="0" applyFont="1" applyBorder="1" applyAlignment="1" applyProtection="1">
      <alignment horizontal="center" vertical="center" wrapText="1" shrinkToFit="1"/>
    </xf>
    <xf numFmtId="0" fontId="18" fillId="0" borderId="0" xfId="0" applyFont="1" applyBorder="1" applyAlignment="1" applyProtection="1">
      <alignment horizontal="center" vertical="center" wrapText="1" shrinkToFit="1"/>
    </xf>
    <xf numFmtId="0" fontId="18" fillId="0" borderId="36" xfId="0" applyFont="1" applyBorder="1" applyAlignment="1" applyProtection="1">
      <alignment horizontal="center" vertical="center" wrapText="1" shrinkToFit="1"/>
    </xf>
    <xf numFmtId="0" fontId="18" fillId="3" borderId="67" xfId="0" applyFont="1" applyFill="1" applyBorder="1" applyAlignment="1" applyProtection="1">
      <alignment horizontal="center" vertical="center" shrinkToFit="1"/>
    </xf>
    <xf numFmtId="0" fontId="18" fillId="3" borderId="48" xfId="0" applyFont="1" applyFill="1" applyBorder="1" applyAlignment="1" applyProtection="1">
      <alignment horizontal="center" vertical="center" shrinkToFit="1"/>
    </xf>
    <xf numFmtId="0" fontId="18" fillId="3" borderId="97" xfId="0" applyFont="1" applyFill="1" applyBorder="1" applyAlignment="1" applyProtection="1">
      <alignment horizontal="center" vertical="center" shrinkToFit="1"/>
    </xf>
    <xf numFmtId="0" fontId="9" fillId="3" borderId="197" xfId="3" applyFont="1" applyFill="1" applyBorder="1" applyAlignment="1" applyProtection="1">
      <alignment horizontal="center" vertical="center" shrinkToFit="1"/>
    </xf>
    <xf numFmtId="0" fontId="9" fillId="3" borderId="296" xfId="3" applyFont="1" applyFill="1" applyBorder="1" applyAlignment="1" applyProtection="1">
      <alignment horizontal="center" vertical="center" shrinkToFit="1"/>
    </xf>
    <xf numFmtId="0" fontId="18" fillId="0" borderId="100" xfId="0" applyFont="1" applyBorder="1" applyAlignment="1" applyProtection="1">
      <alignment horizontal="center" vertical="center"/>
    </xf>
    <xf numFmtId="0" fontId="18" fillId="0" borderId="23" xfId="0" applyFont="1" applyBorder="1" applyAlignment="1" applyProtection="1">
      <alignment horizontal="center" vertical="center"/>
    </xf>
    <xf numFmtId="0" fontId="18" fillId="0" borderId="24" xfId="0" applyFont="1" applyBorder="1" applyAlignment="1" applyProtection="1">
      <alignment horizontal="center" vertical="center"/>
    </xf>
    <xf numFmtId="0" fontId="18" fillId="0" borderId="49" xfId="0" applyFont="1" applyBorder="1" applyAlignment="1" applyProtection="1">
      <alignment horizontal="center" vertical="center" shrinkToFit="1"/>
    </xf>
    <xf numFmtId="0" fontId="18" fillId="0" borderId="67" xfId="0" applyFont="1" applyBorder="1" applyAlignment="1" applyProtection="1">
      <alignment horizontal="center" vertical="center" shrinkToFit="1"/>
    </xf>
    <xf numFmtId="0" fontId="18" fillId="0" borderId="23" xfId="0" applyFont="1" applyBorder="1" applyAlignment="1" applyProtection="1">
      <alignment horizontal="center" vertical="center" shrinkToFit="1"/>
    </xf>
    <xf numFmtId="0" fontId="18" fillId="0" borderId="24" xfId="0" applyFont="1" applyBorder="1" applyAlignment="1" applyProtection="1">
      <alignment horizontal="center" vertical="center" shrinkToFit="1"/>
    </xf>
    <xf numFmtId="0" fontId="18" fillId="0" borderId="22" xfId="0" applyFont="1" applyBorder="1" applyAlignment="1" applyProtection="1">
      <alignment horizontal="center" vertical="center" shrinkToFit="1"/>
    </xf>
    <xf numFmtId="0" fontId="31" fillId="3" borderId="198" xfId="3" applyFont="1" applyFill="1" applyBorder="1" applyAlignment="1" applyProtection="1">
      <alignment horizontal="center" vertical="center" wrapText="1" shrinkToFit="1"/>
    </xf>
    <xf numFmtId="0" fontId="31" fillId="3" borderId="297" xfId="3" applyFont="1" applyFill="1" applyBorder="1" applyAlignment="1" applyProtection="1">
      <alignment horizontal="center" vertical="center" wrapText="1" shrinkToFit="1"/>
    </xf>
    <xf numFmtId="14" fontId="9" fillId="3" borderId="8" xfId="3" applyNumberFormat="1" applyFont="1" applyFill="1" applyBorder="1" applyAlignment="1" applyProtection="1">
      <alignment horizontal="center" vertical="center" shrinkToFit="1"/>
    </xf>
    <xf numFmtId="14" fontId="9" fillId="3" borderId="71" xfId="3" applyNumberFormat="1" applyFont="1" applyFill="1" applyBorder="1" applyAlignment="1" applyProtection="1">
      <alignment horizontal="center" vertical="center" shrinkToFit="1"/>
    </xf>
    <xf numFmtId="0" fontId="9" fillId="2" borderId="30" xfId="3" applyFont="1" applyFill="1" applyBorder="1" applyAlignment="1" applyProtection="1">
      <alignment horizontal="left" vertical="center" shrinkToFit="1"/>
    </xf>
    <xf numFmtId="0" fontId="9" fillId="2" borderId="0" xfId="3" applyFont="1" applyFill="1" applyBorder="1" applyAlignment="1" applyProtection="1">
      <alignment horizontal="left" vertical="center" shrinkToFit="1"/>
    </xf>
    <xf numFmtId="0" fontId="9" fillId="2" borderId="0" xfId="3" applyFont="1" applyFill="1" applyBorder="1" applyAlignment="1" applyProtection="1">
      <alignment horizontal="left" vertical="center"/>
    </xf>
    <xf numFmtId="0" fontId="35" fillId="2" borderId="0" xfId="3" applyFont="1" applyFill="1" applyAlignment="1" applyProtection="1">
      <alignment horizontal="right" vertical="center"/>
    </xf>
    <xf numFmtId="0" fontId="35" fillId="2" borderId="0" xfId="3" applyFont="1" applyFill="1" applyAlignment="1" applyProtection="1">
      <alignment horizontal="center" vertical="center"/>
    </xf>
    <xf numFmtId="0" fontId="9" fillId="3" borderId="10" xfId="3" applyFont="1" applyFill="1" applyBorder="1" applyAlignment="1" applyProtection="1">
      <alignment horizontal="center" vertical="center" shrinkToFit="1"/>
    </xf>
    <xf numFmtId="0" fontId="9" fillId="3" borderId="38" xfId="3" applyFont="1" applyFill="1" applyBorder="1" applyAlignment="1" applyProtection="1">
      <alignment horizontal="center" vertical="center"/>
    </xf>
    <xf numFmtId="0" fontId="9" fillId="3" borderId="39" xfId="3" applyFont="1" applyFill="1" applyBorder="1" applyAlignment="1" applyProtection="1">
      <alignment horizontal="center" vertical="center"/>
    </xf>
    <xf numFmtId="0" fontId="9" fillId="3" borderId="40" xfId="3" applyFont="1" applyFill="1" applyBorder="1" applyAlignment="1" applyProtection="1">
      <alignment horizontal="center" vertical="center"/>
    </xf>
    <xf numFmtId="209" fontId="9" fillId="4" borderId="175" xfId="3" applyNumberFormat="1" applyFont="1" applyFill="1" applyBorder="1" applyAlignment="1" applyProtection="1">
      <alignment horizontal="center" vertical="center" shrinkToFit="1"/>
      <protection locked="0"/>
    </xf>
    <xf numFmtId="209" fontId="9" fillId="4" borderId="288" xfId="3" applyNumberFormat="1" applyFont="1" applyFill="1" applyBorder="1" applyAlignment="1" applyProtection="1">
      <alignment horizontal="center" vertical="center" shrinkToFit="1"/>
      <protection locked="0"/>
    </xf>
    <xf numFmtId="0" fontId="9" fillId="4" borderId="134" xfId="3" applyFont="1" applyFill="1" applyBorder="1" applyAlignment="1" applyProtection="1">
      <alignment horizontal="left" vertical="top" wrapText="1"/>
      <protection locked="0"/>
    </xf>
    <xf numFmtId="0" fontId="9" fillId="4" borderId="133" xfId="3" applyFont="1" applyFill="1" applyBorder="1" applyAlignment="1" applyProtection="1">
      <alignment horizontal="left" vertical="top" wrapText="1"/>
      <protection locked="0"/>
    </xf>
    <xf numFmtId="0" fontId="9" fillId="4" borderId="129" xfId="3" applyFont="1" applyFill="1" applyBorder="1" applyAlignment="1" applyProtection="1">
      <alignment horizontal="left" vertical="top" wrapText="1"/>
      <protection locked="0"/>
    </xf>
    <xf numFmtId="0" fontId="9" fillId="4" borderId="53" xfId="3" applyFont="1" applyFill="1" applyBorder="1" applyAlignment="1" applyProtection="1">
      <alignment horizontal="left" vertical="top" wrapText="1"/>
      <protection locked="0"/>
    </xf>
    <xf numFmtId="0" fontId="9" fillId="4" borderId="36" xfId="3" applyFont="1" applyFill="1" applyBorder="1" applyAlignment="1" applyProtection="1">
      <alignment horizontal="left" vertical="top" wrapText="1"/>
      <protection locked="0"/>
    </xf>
    <xf numFmtId="0" fontId="9" fillId="4" borderId="93" xfId="3" applyFont="1" applyFill="1" applyBorder="1" applyAlignment="1" applyProtection="1">
      <alignment horizontal="left" vertical="top" wrapText="1"/>
      <protection locked="0"/>
    </xf>
    <xf numFmtId="0" fontId="9" fillId="3" borderId="196" xfId="3" applyFont="1" applyFill="1" applyBorder="1" applyAlignment="1" applyProtection="1">
      <alignment horizontal="center" vertical="center" wrapText="1" shrinkToFit="1"/>
    </xf>
    <xf numFmtId="0" fontId="43" fillId="3" borderId="32" xfId="3" applyFont="1" applyFill="1" applyBorder="1" applyAlignment="1" applyProtection="1">
      <alignment horizontal="center" vertical="center" wrapText="1"/>
    </xf>
    <xf numFmtId="0" fontId="43" fillId="3" borderId="37" xfId="3" applyFont="1" applyFill="1" applyBorder="1" applyAlignment="1" applyProtection="1">
      <alignment horizontal="center" vertical="center"/>
    </xf>
    <xf numFmtId="0" fontId="18" fillId="2" borderId="194" xfId="0" applyFont="1" applyFill="1" applyBorder="1" applyAlignment="1" applyProtection="1">
      <alignment horizontal="center" vertical="center"/>
    </xf>
    <xf numFmtId="0" fontId="18" fillId="2" borderId="71" xfId="0" applyFont="1" applyFill="1" applyBorder="1" applyAlignment="1" applyProtection="1">
      <alignment horizontal="center" vertical="center"/>
    </xf>
    <xf numFmtId="0" fontId="9" fillId="2" borderId="27" xfId="3" applyFont="1" applyFill="1" applyBorder="1" applyAlignment="1" applyProtection="1">
      <alignment horizontal="left" vertical="center" wrapText="1"/>
    </xf>
    <xf numFmtId="0" fontId="9" fillId="2" borderId="33" xfId="3" applyFont="1" applyFill="1" applyBorder="1" applyAlignment="1" applyProtection="1">
      <alignment horizontal="left" vertical="center" wrapText="1"/>
    </xf>
    <xf numFmtId="0" fontId="9" fillId="2" borderId="11" xfId="3" applyFont="1" applyFill="1" applyBorder="1" applyAlignment="1" applyProtection="1">
      <alignment horizontal="left" vertical="center" wrapText="1"/>
    </xf>
    <xf numFmtId="0" fontId="9" fillId="2" borderId="20" xfId="3" applyFont="1" applyFill="1" applyBorder="1" applyAlignment="1" applyProtection="1">
      <alignment horizontal="left" vertical="center" wrapText="1"/>
    </xf>
    <xf numFmtId="0" fontId="9" fillId="2" borderId="0" xfId="3" applyFont="1" applyFill="1" applyBorder="1" applyAlignment="1" applyProtection="1">
      <alignment horizontal="left" vertical="center" wrapText="1"/>
    </xf>
    <xf numFmtId="0" fontId="9" fillId="2" borderId="14" xfId="3" applyFont="1" applyFill="1" applyBorder="1" applyAlignment="1" applyProtection="1">
      <alignment horizontal="left" vertical="center" wrapText="1"/>
    </xf>
    <xf numFmtId="0" fontId="9" fillId="2" borderId="53" xfId="3" applyFont="1" applyFill="1" applyBorder="1" applyAlignment="1" applyProtection="1">
      <alignment horizontal="left" vertical="center" wrapText="1"/>
    </xf>
    <xf numFmtId="0" fontId="9" fillId="2" borderId="36" xfId="3" applyFont="1" applyFill="1" applyBorder="1" applyAlignment="1" applyProtection="1">
      <alignment horizontal="left" vertical="center" wrapText="1"/>
    </xf>
    <xf numFmtId="0" fontId="9" fillId="2" borderId="93" xfId="3" applyFont="1" applyFill="1" applyBorder="1" applyAlignment="1" applyProtection="1">
      <alignment horizontal="left" vertical="center" wrapText="1"/>
    </xf>
    <xf numFmtId="0" fontId="9" fillId="3" borderId="49" xfId="3" applyFont="1" applyFill="1" applyBorder="1" applyAlignment="1" applyProtection="1">
      <alignment horizontal="center" vertical="center" shrinkToFit="1"/>
    </xf>
    <xf numFmtId="0" fontId="9" fillId="3" borderId="47" xfId="3" applyFont="1" applyFill="1" applyBorder="1" applyAlignment="1" applyProtection="1">
      <alignment horizontal="center" vertical="center" shrinkToFit="1"/>
    </xf>
    <xf numFmtId="0" fontId="9" fillId="3" borderId="51" xfId="3" applyFont="1" applyFill="1" applyBorder="1" applyAlignment="1" applyProtection="1">
      <alignment horizontal="center" vertical="center" shrinkToFit="1"/>
    </xf>
    <xf numFmtId="0" fontId="9" fillId="3" borderId="436" xfId="3" applyFont="1" applyFill="1" applyBorder="1" applyAlignment="1" applyProtection="1">
      <alignment horizontal="center" vertical="center"/>
    </xf>
    <xf numFmtId="0" fontId="9" fillId="3" borderId="437" xfId="3" applyFont="1" applyFill="1" applyBorder="1" applyAlignment="1" applyProtection="1">
      <alignment horizontal="center" vertical="center"/>
    </xf>
    <xf numFmtId="0" fontId="9" fillId="3" borderId="438" xfId="3" applyFont="1" applyFill="1" applyBorder="1" applyAlignment="1" applyProtection="1">
      <alignment horizontal="center" vertical="center"/>
    </xf>
    <xf numFmtId="0" fontId="9" fillId="3" borderId="27" xfId="3" applyFont="1" applyFill="1" applyBorder="1" applyAlignment="1" applyProtection="1">
      <alignment horizontal="center" vertical="center"/>
    </xf>
    <xf numFmtId="0" fontId="9" fillId="3" borderId="33" xfId="3" applyFont="1" applyFill="1" applyBorder="1" applyAlignment="1" applyProtection="1">
      <alignment horizontal="center" vertical="center"/>
    </xf>
    <xf numFmtId="0" fontId="9" fillId="3" borderId="11" xfId="3" applyFont="1" applyFill="1" applyBorder="1" applyAlignment="1" applyProtection="1">
      <alignment horizontal="center" vertical="center"/>
    </xf>
    <xf numFmtId="0" fontId="9" fillId="3" borderId="33" xfId="3" applyFont="1" applyFill="1" applyBorder="1" applyAlignment="1" applyProtection="1">
      <alignment horizontal="center" vertical="center" wrapText="1"/>
    </xf>
    <xf numFmtId="0" fontId="9" fillId="3" borderId="28" xfId="3" applyFont="1" applyFill="1" applyBorder="1" applyAlignment="1" applyProtection="1">
      <alignment horizontal="center" vertical="center" wrapText="1"/>
    </xf>
    <xf numFmtId="0" fontId="9" fillId="3" borderId="439" xfId="3" applyFont="1" applyFill="1" applyBorder="1" applyAlignment="1" applyProtection="1">
      <alignment horizontal="center" vertical="center" shrinkToFit="1"/>
    </xf>
    <xf numFmtId="0" fontId="9" fillId="3" borderId="438" xfId="3" applyFont="1" applyFill="1" applyBorder="1" applyAlignment="1" applyProtection="1">
      <alignment horizontal="center" vertical="center" shrinkToFit="1"/>
    </xf>
    <xf numFmtId="0" fontId="9" fillId="3" borderId="94" xfId="3" applyFont="1" applyFill="1" applyBorder="1" applyAlignment="1" applyProtection="1">
      <alignment horizontal="center" vertical="center"/>
    </xf>
    <xf numFmtId="0" fontId="9" fillId="3" borderId="93" xfId="3" applyFont="1" applyFill="1" applyBorder="1" applyAlignment="1" applyProtection="1">
      <alignment horizontal="center" vertical="center"/>
    </xf>
    <xf numFmtId="0" fontId="21" fillId="2" borderId="157" xfId="3" applyFont="1" applyFill="1" applyBorder="1" applyAlignment="1" applyProtection="1">
      <alignment horizontal="center" vertical="center" shrinkToFit="1"/>
    </xf>
    <xf numFmtId="0" fontId="21" fillId="2" borderId="159" xfId="3" applyFont="1" applyFill="1" applyBorder="1" applyAlignment="1" applyProtection="1">
      <alignment horizontal="center" vertical="center" shrinkToFit="1"/>
    </xf>
    <xf numFmtId="0" fontId="4" fillId="7" borderId="0" xfId="3" applyFont="1" applyFill="1" applyAlignment="1" applyProtection="1">
      <alignment horizontal="center" vertical="center" shrinkToFit="1"/>
    </xf>
    <xf numFmtId="0" fontId="34" fillId="2" borderId="39" xfId="3" applyFont="1" applyFill="1" applyBorder="1" applyAlignment="1" applyProtection="1">
      <alignment horizontal="center" vertical="center" shrinkToFit="1"/>
    </xf>
    <xf numFmtId="0" fontId="34" fillId="2" borderId="40" xfId="3" applyFont="1" applyFill="1" applyBorder="1" applyAlignment="1" applyProtection="1">
      <alignment horizontal="center" vertical="center" shrinkToFit="1"/>
    </xf>
    <xf numFmtId="179" fontId="4" fillId="2" borderId="38" xfId="3" applyNumberFormat="1" applyFont="1" applyFill="1" applyBorder="1" applyAlignment="1" applyProtection="1">
      <alignment horizontal="center" shrinkToFit="1"/>
    </xf>
    <xf numFmtId="179" fontId="4" fillId="2" borderId="39" xfId="3" applyNumberFormat="1" applyFont="1" applyFill="1" applyBorder="1" applyAlignment="1" applyProtection="1">
      <alignment horizontal="center" shrinkToFit="1"/>
    </xf>
    <xf numFmtId="179" fontId="4" fillId="2" borderId="40" xfId="3" applyNumberFormat="1" applyFont="1" applyFill="1" applyBorder="1" applyAlignment="1" applyProtection="1">
      <alignment horizontal="center" shrinkToFit="1"/>
    </xf>
    <xf numFmtId="0" fontId="4" fillId="4" borderId="60" xfId="3" applyFont="1" applyFill="1" applyBorder="1" applyAlignment="1" applyProtection="1">
      <alignment horizontal="center" vertical="center" shrinkToFit="1"/>
      <protection locked="0"/>
    </xf>
    <xf numFmtId="0" fontId="4" fillId="4" borderId="61" xfId="3" applyFont="1" applyFill="1" applyBorder="1" applyAlignment="1" applyProtection="1">
      <alignment horizontal="center" vertical="center" shrinkToFit="1"/>
      <protection locked="0"/>
    </xf>
    <xf numFmtId="0" fontId="4" fillId="2" borderId="0" xfId="3" applyFont="1" applyFill="1" applyAlignment="1" applyProtection="1">
      <alignment horizontal="center" vertical="center" shrinkToFit="1"/>
    </xf>
    <xf numFmtId="0" fontId="4" fillId="2" borderId="36" xfId="3" applyFont="1" applyFill="1" applyBorder="1" applyAlignment="1" applyProtection="1">
      <alignment horizontal="center" vertical="center" shrinkToFit="1"/>
    </xf>
    <xf numFmtId="0" fontId="4" fillId="2" borderId="18" xfId="3" applyFont="1" applyFill="1" applyBorder="1" applyAlignment="1" applyProtection="1">
      <alignment horizontal="center" vertical="center" shrinkToFit="1"/>
    </xf>
    <xf numFmtId="0" fontId="4" fillId="2" borderId="15" xfId="3" applyFont="1" applyFill="1" applyBorder="1" applyAlignment="1" applyProtection="1">
      <alignment horizontal="center" vertical="center" shrinkToFit="1"/>
    </xf>
    <xf numFmtId="0" fontId="4" fillId="2" borderId="53" xfId="3" applyFont="1" applyFill="1" applyBorder="1" applyAlignment="1" applyProtection="1">
      <alignment horizontal="center" vertical="center" shrinkToFit="1"/>
    </xf>
    <xf numFmtId="0" fontId="4" fillId="2" borderId="93" xfId="3" applyFont="1" applyFill="1" applyBorder="1" applyAlignment="1" applyProtection="1">
      <alignment horizontal="center" vertical="center" shrinkToFit="1"/>
    </xf>
    <xf numFmtId="0" fontId="4" fillId="2" borderId="5" xfId="3" applyFont="1" applyFill="1" applyBorder="1" applyAlignment="1" applyProtection="1">
      <alignment horizontal="center" vertical="center" shrinkToFit="1"/>
    </xf>
    <xf numFmtId="0" fontId="4" fillId="2" borderId="71" xfId="3" applyFont="1" applyFill="1" applyBorder="1" applyAlignment="1" applyProtection="1">
      <alignment horizontal="center" vertical="center" shrinkToFit="1"/>
    </xf>
    <xf numFmtId="0" fontId="4" fillId="4" borderId="101" xfId="3" applyFont="1" applyFill="1" applyBorder="1" applyAlignment="1" applyProtection="1">
      <alignment horizontal="center" vertical="center" shrinkToFit="1"/>
      <protection locked="0"/>
    </xf>
    <xf numFmtId="0" fontId="4" fillId="4" borderId="102" xfId="3" applyFont="1" applyFill="1" applyBorder="1" applyAlignment="1" applyProtection="1">
      <alignment horizontal="center" vertical="center" shrinkToFit="1"/>
      <protection locked="0"/>
    </xf>
    <xf numFmtId="0" fontId="8" fillId="2" borderId="0" xfId="3" applyFont="1" applyFill="1" applyBorder="1" applyAlignment="1" applyProtection="1">
      <alignment horizontal="center" vertical="center" shrinkToFit="1"/>
    </xf>
    <xf numFmtId="0" fontId="8" fillId="2" borderId="0" xfId="3" applyFont="1" applyFill="1" applyAlignment="1" applyProtection="1">
      <alignment horizontal="left" vertical="center" shrinkToFit="1"/>
    </xf>
    <xf numFmtId="0" fontId="4" fillId="2" borderId="38" xfId="3" applyFont="1" applyFill="1" applyBorder="1" applyAlignment="1" applyProtection="1">
      <alignment horizontal="center" shrinkToFit="1"/>
    </xf>
    <xf numFmtId="0" fontId="4" fillId="2" borderId="39" xfId="3" applyFont="1" applyFill="1" applyBorder="1" applyAlignment="1" applyProtection="1">
      <alignment horizontal="center" shrinkToFit="1"/>
    </xf>
    <xf numFmtId="0" fontId="4" fillId="2" borderId="40" xfId="3" applyFont="1" applyFill="1" applyBorder="1" applyAlignment="1" applyProtection="1">
      <alignment horizontal="center" shrinkToFit="1"/>
    </xf>
    <xf numFmtId="0" fontId="34" fillId="2" borderId="36" xfId="3" applyFont="1" applyFill="1" applyBorder="1" applyAlignment="1" applyProtection="1">
      <alignment horizontal="center" vertical="center" shrinkToFit="1"/>
    </xf>
    <xf numFmtId="0" fontId="9" fillId="2" borderId="34" xfId="3" applyFont="1" applyFill="1" applyBorder="1" applyAlignment="1" applyProtection="1">
      <alignment horizontal="left" shrinkToFit="1"/>
    </xf>
    <xf numFmtId="0" fontId="9" fillId="2" borderId="0" xfId="3" applyFont="1" applyFill="1" applyBorder="1" applyAlignment="1" applyProtection="1">
      <alignment horizontal="left" shrinkToFit="1"/>
    </xf>
    <xf numFmtId="0" fontId="9" fillId="2" borderId="35" xfId="3" applyFont="1" applyFill="1" applyBorder="1" applyAlignment="1" applyProtection="1">
      <alignment horizontal="left" shrinkToFit="1"/>
    </xf>
    <xf numFmtId="0" fontId="9" fillId="2" borderId="36" xfId="3" applyFont="1" applyFill="1" applyBorder="1" applyAlignment="1" applyProtection="1">
      <alignment horizontal="left" shrinkToFit="1"/>
    </xf>
    <xf numFmtId="0" fontId="4" fillId="2" borderId="14" xfId="3" applyFont="1" applyFill="1" applyBorder="1" applyAlignment="1" applyProtection="1">
      <alignment horizontal="center" vertical="center" shrinkToFit="1"/>
    </xf>
    <xf numFmtId="194" fontId="4" fillId="2" borderId="67" xfId="3" applyNumberFormat="1" applyFont="1" applyFill="1" applyBorder="1" applyAlignment="1" applyProtection="1">
      <alignment horizontal="center" vertical="center" shrinkToFit="1"/>
    </xf>
    <xf numFmtId="194" fontId="4" fillId="2" borderId="48" xfId="3" applyNumberFormat="1" applyFont="1" applyFill="1" applyBorder="1" applyAlignment="1" applyProtection="1">
      <alignment horizontal="center" vertical="center" shrinkToFit="1"/>
    </xf>
    <xf numFmtId="0" fontId="4" fillId="2" borderId="16" xfId="3" applyFont="1" applyFill="1" applyBorder="1" applyAlignment="1" applyProtection="1">
      <alignment horizontal="center" vertical="center" shrinkToFit="1"/>
    </xf>
    <xf numFmtId="0" fontId="4" fillId="2" borderId="13" xfId="3" applyFont="1" applyFill="1" applyBorder="1" applyAlignment="1" applyProtection="1">
      <alignment horizontal="center" vertical="center" shrinkToFit="1"/>
    </xf>
    <xf numFmtId="0" fontId="4" fillId="2" borderId="26" xfId="3" applyFont="1" applyFill="1" applyBorder="1" applyAlignment="1" applyProtection="1">
      <alignment horizontal="center" vertical="center" shrinkToFit="1"/>
    </xf>
    <xf numFmtId="0" fontId="4" fillId="2" borderId="52" xfId="3" applyFont="1" applyFill="1" applyBorder="1" applyAlignment="1" applyProtection="1">
      <alignment horizontal="center" vertical="center" shrinkToFit="1"/>
    </xf>
    <xf numFmtId="0" fontId="21" fillId="2" borderId="162" xfId="3" applyFont="1" applyFill="1" applyBorder="1" applyAlignment="1" applyProtection="1">
      <alignment horizontal="center" vertical="center" shrinkToFit="1"/>
    </xf>
    <xf numFmtId="0" fontId="21" fillId="2" borderId="163" xfId="3" applyFont="1" applyFill="1" applyBorder="1" applyAlignment="1" applyProtection="1">
      <alignment horizontal="center" vertical="center" shrinkToFit="1"/>
    </xf>
    <xf numFmtId="0" fontId="4" fillId="2" borderId="25" xfId="3" applyFont="1" applyFill="1" applyBorder="1" applyAlignment="1" applyProtection="1">
      <alignment horizontal="center" vertical="center" shrinkToFit="1"/>
    </xf>
    <xf numFmtId="0" fontId="4" fillId="2" borderId="66" xfId="3" applyFont="1" applyFill="1" applyBorder="1" applyAlignment="1" applyProtection="1">
      <alignment horizontal="center" vertical="center" shrinkToFit="1"/>
    </xf>
    <xf numFmtId="0" fontId="4" fillId="2" borderId="49" xfId="3" applyFont="1" applyFill="1" applyBorder="1" applyAlignment="1" applyProtection="1">
      <alignment horizontal="center" vertical="center" shrinkToFit="1"/>
    </xf>
    <xf numFmtId="0" fontId="4" fillId="2" borderId="47" xfId="3" applyFont="1" applyFill="1" applyBorder="1" applyAlignment="1" applyProtection="1">
      <alignment horizontal="center" vertical="center" shrinkToFit="1"/>
    </xf>
    <xf numFmtId="0" fontId="4" fillId="2" borderId="1" xfId="3" applyFont="1" applyFill="1" applyBorder="1" applyAlignment="1" applyProtection="1">
      <alignment horizontal="center" vertical="center" shrinkToFit="1"/>
    </xf>
    <xf numFmtId="0" fontId="4" fillId="2" borderId="8" xfId="3" applyFont="1" applyFill="1" applyBorder="1" applyAlignment="1" applyProtection="1">
      <alignment horizontal="center" vertical="center" shrinkToFit="1"/>
    </xf>
    <xf numFmtId="0" fontId="4" fillId="2" borderId="22" xfId="3" applyFont="1" applyFill="1" applyBorder="1" applyAlignment="1" applyProtection="1">
      <alignment horizontal="center" shrinkToFit="1"/>
    </xf>
    <xf numFmtId="0" fontId="4" fillId="2" borderId="23" xfId="3" applyFont="1" applyFill="1" applyBorder="1" applyAlignment="1" applyProtection="1">
      <alignment horizontal="center" shrinkToFit="1"/>
    </xf>
    <xf numFmtId="0" fontId="21" fillId="2" borderId="158" xfId="3" applyFont="1" applyFill="1" applyBorder="1" applyAlignment="1" applyProtection="1">
      <alignment horizontal="center" vertical="center" shrinkToFit="1"/>
    </xf>
    <xf numFmtId="0" fontId="21" fillId="2" borderId="168" xfId="3" applyFont="1" applyFill="1" applyBorder="1" applyAlignment="1" applyProtection="1">
      <alignment horizontal="center" vertical="center" shrinkToFit="1"/>
    </xf>
    <xf numFmtId="0" fontId="4" fillId="7" borderId="0" xfId="1" applyFont="1" applyFill="1" applyAlignment="1" applyProtection="1">
      <alignment horizontal="center" vertical="center"/>
    </xf>
    <xf numFmtId="0" fontId="19" fillId="2" borderId="0" xfId="1" applyFont="1" applyFill="1" applyAlignment="1" applyProtection="1">
      <alignment horizontal="left" vertical="center" shrinkToFit="1"/>
    </xf>
    <xf numFmtId="0" fontId="9" fillId="2" borderId="0" xfId="1" applyFont="1" applyFill="1" applyAlignment="1" applyProtection="1">
      <alignment horizontal="left" vertical="center" shrinkToFit="1"/>
    </xf>
    <xf numFmtId="0" fontId="9" fillId="4" borderId="5" xfId="1" applyFont="1" applyFill="1" applyBorder="1" applyAlignment="1" applyProtection="1">
      <alignment horizontal="center" vertical="center" wrapText="1"/>
      <protection locked="0"/>
    </xf>
    <xf numFmtId="0" fontId="9" fillId="4" borderId="7" xfId="1" applyFont="1" applyFill="1" applyBorder="1" applyAlignment="1" applyProtection="1">
      <alignment horizontal="center" vertical="center" wrapText="1"/>
      <protection locked="0"/>
    </xf>
    <xf numFmtId="0" fontId="9" fillId="4" borderId="45" xfId="1" applyFont="1" applyFill="1" applyBorder="1" applyAlignment="1" applyProtection="1">
      <alignment horizontal="center" vertical="center" wrapText="1"/>
      <protection locked="0"/>
    </xf>
    <xf numFmtId="0" fontId="9" fillId="4" borderId="46" xfId="1" applyFont="1" applyFill="1" applyBorder="1" applyAlignment="1" applyProtection="1">
      <alignment horizontal="center" vertical="center" wrapText="1"/>
      <protection locked="0"/>
    </xf>
    <xf numFmtId="0" fontId="34" fillId="0" borderId="0" xfId="1" applyFont="1" applyBorder="1" applyAlignment="1" applyProtection="1">
      <alignment horizontal="center" vertical="center"/>
    </xf>
    <xf numFmtId="0" fontId="8" fillId="2" borderId="0" xfId="1" applyFont="1" applyFill="1" applyAlignment="1" applyProtection="1">
      <alignment horizontal="right" vertical="center"/>
    </xf>
    <xf numFmtId="0" fontId="34" fillId="2" borderId="49" xfId="1" applyFont="1" applyFill="1" applyBorder="1" applyAlignment="1" applyProtection="1">
      <alignment horizontal="center" vertical="center"/>
    </xf>
    <xf numFmtId="0" fontId="4" fillId="2" borderId="51" xfId="1" applyFont="1" applyFill="1" applyBorder="1" applyAlignment="1" applyProtection="1">
      <alignment horizontal="center" vertical="center"/>
    </xf>
    <xf numFmtId="0" fontId="34" fillId="2" borderId="25" xfId="1" applyFont="1" applyFill="1" applyBorder="1" applyAlignment="1" applyProtection="1">
      <alignment horizontal="center" vertical="center"/>
    </xf>
    <xf numFmtId="0" fontId="34" fillId="2" borderId="50" xfId="1" applyFont="1" applyFill="1" applyBorder="1" applyAlignment="1" applyProtection="1">
      <alignment horizontal="center" vertical="center"/>
    </xf>
    <xf numFmtId="0" fontId="25" fillId="4" borderId="27" xfId="1" applyFont="1" applyFill="1" applyBorder="1" applyAlignment="1" applyProtection="1">
      <alignment horizontal="center" vertical="center" wrapText="1" shrinkToFit="1"/>
      <protection locked="0"/>
    </xf>
    <xf numFmtId="0" fontId="25" fillId="4" borderId="33" xfId="1" applyFont="1" applyFill="1" applyBorder="1" applyAlignment="1" applyProtection="1">
      <alignment horizontal="center" vertical="center" wrapText="1" shrinkToFit="1"/>
      <protection locked="0"/>
    </xf>
    <xf numFmtId="0" fontId="25" fillId="4" borderId="28" xfId="1" applyFont="1" applyFill="1" applyBorder="1" applyAlignment="1" applyProtection="1">
      <alignment horizontal="center" vertical="center" wrapText="1" shrinkToFit="1"/>
      <protection locked="0"/>
    </xf>
    <xf numFmtId="0" fontId="25" fillId="4" borderId="53" xfId="1" applyFont="1" applyFill="1" applyBorder="1" applyAlignment="1" applyProtection="1">
      <alignment horizontal="center" vertical="center" wrapText="1" shrinkToFit="1"/>
      <protection locked="0"/>
    </xf>
    <xf numFmtId="0" fontId="25" fillId="4" borderId="36" xfId="1" applyFont="1" applyFill="1" applyBorder="1" applyAlignment="1" applyProtection="1">
      <alignment horizontal="center" vertical="center" wrapText="1" shrinkToFit="1"/>
      <protection locked="0"/>
    </xf>
    <xf numFmtId="0" fontId="25" fillId="4" borderId="37" xfId="1" applyFont="1" applyFill="1" applyBorder="1" applyAlignment="1" applyProtection="1">
      <alignment horizontal="center" vertical="center" wrapText="1" shrinkToFit="1"/>
      <protection locked="0"/>
    </xf>
    <xf numFmtId="176" fontId="4" fillId="2" borderId="26" xfId="1" applyNumberFormat="1" applyFont="1" applyFill="1" applyBorder="1" applyAlignment="1" applyProtection="1">
      <alignment horizontal="right" vertical="center" shrinkToFit="1"/>
    </xf>
    <xf numFmtId="176" fontId="4" fillId="2" borderId="52" xfId="1" applyNumberFormat="1" applyFont="1" applyFill="1" applyBorder="1" applyAlignment="1" applyProtection="1">
      <alignment horizontal="right" vertical="center" shrinkToFit="1"/>
    </xf>
    <xf numFmtId="0" fontId="9" fillId="4" borderId="44" xfId="1" applyFont="1" applyFill="1" applyBorder="1" applyAlignment="1" applyProtection="1">
      <alignment horizontal="center" vertical="center" wrapText="1" shrinkToFit="1"/>
      <protection locked="0"/>
    </xf>
    <xf numFmtId="0" fontId="9" fillId="4" borderId="6" xfId="1" applyFont="1" applyFill="1" applyBorder="1" applyAlignment="1" applyProtection="1">
      <alignment horizontal="center" vertical="center" wrapText="1" shrinkToFit="1"/>
      <protection locked="0"/>
    </xf>
    <xf numFmtId="0" fontId="18" fillId="2" borderId="370" xfId="0" applyFont="1" applyFill="1" applyBorder="1" applyAlignment="1" applyProtection="1">
      <alignment horizontal="center" vertical="center" shrinkToFit="1"/>
    </xf>
    <xf numFmtId="0" fontId="18" fillId="2" borderId="159" xfId="0" applyFont="1" applyFill="1" applyBorder="1" applyAlignment="1" applyProtection="1">
      <alignment horizontal="center" vertical="center" shrinkToFit="1"/>
    </xf>
    <xf numFmtId="0" fontId="18" fillId="3" borderId="49" xfId="0" applyFont="1" applyFill="1" applyBorder="1" applyAlignment="1" applyProtection="1">
      <alignment horizontal="center" vertical="center" shrinkToFit="1"/>
    </xf>
    <xf numFmtId="0" fontId="18" fillId="3" borderId="51" xfId="0" applyFont="1" applyFill="1" applyBorder="1" applyAlignment="1" applyProtection="1">
      <alignment horizontal="center" vertical="center" shrinkToFit="1"/>
    </xf>
    <xf numFmtId="0" fontId="9" fillId="3" borderId="50" xfId="0" applyFont="1" applyFill="1" applyBorder="1" applyAlignment="1" applyProtection="1">
      <alignment horizontal="center" vertical="center" shrinkToFit="1"/>
    </xf>
    <xf numFmtId="0" fontId="18" fillId="0" borderId="76" xfId="0" applyFont="1" applyFill="1" applyBorder="1" applyAlignment="1" applyProtection="1">
      <alignment horizontal="center" vertical="center" shrinkToFit="1"/>
    </xf>
    <xf numFmtId="0" fontId="18" fillId="0" borderId="108" xfId="0" applyFont="1" applyFill="1" applyBorder="1" applyAlignment="1" applyProtection="1">
      <alignment horizontal="center" vertical="center" shrinkToFit="1"/>
    </xf>
    <xf numFmtId="0" fontId="40" fillId="0" borderId="76" xfId="0" applyFont="1" applyFill="1" applyBorder="1" applyAlignment="1" applyProtection="1">
      <alignment horizontal="center" vertical="center" shrinkToFit="1"/>
    </xf>
    <xf numFmtId="0" fontId="18" fillId="2" borderId="331" xfId="0" applyFont="1" applyFill="1" applyBorder="1" applyAlignment="1" applyProtection="1">
      <alignment horizontal="center" vertical="center" shrinkToFit="1"/>
    </xf>
    <xf numFmtId="0" fontId="18" fillId="2" borderId="386" xfId="0" applyFont="1" applyFill="1" applyBorder="1" applyAlignment="1" applyProtection="1">
      <alignment horizontal="center" vertical="center" shrinkToFit="1"/>
    </xf>
    <xf numFmtId="0" fontId="18" fillId="2" borderId="385" xfId="0" applyFont="1" applyFill="1" applyBorder="1" applyAlignment="1" applyProtection="1">
      <alignment horizontal="center" vertical="center" shrinkToFit="1"/>
    </xf>
    <xf numFmtId="0" fontId="18" fillId="2" borderId="8" xfId="0" applyFont="1" applyFill="1" applyBorder="1" applyAlignment="1" applyProtection="1">
      <alignment horizontal="center" vertical="center" shrinkToFit="1"/>
    </xf>
    <xf numFmtId="0" fontId="9" fillId="0" borderId="26" xfId="0" applyFont="1" applyFill="1" applyBorder="1" applyAlignment="1" applyProtection="1">
      <alignment horizontal="center" vertical="center" shrinkToFit="1"/>
    </xf>
    <xf numFmtId="0" fontId="9" fillId="0" borderId="453" xfId="0" applyFont="1" applyFill="1" applyBorder="1" applyAlignment="1" applyProtection="1">
      <alignment horizontal="center" vertical="center" shrinkToFit="1"/>
    </xf>
    <xf numFmtId="0" fontId="18" fillId="3" borderId="272" xfId="0" applyFont="1" applyFill="1" applyBorder="1" applyAlignment="1" applyProtection="1">
      <alignment horizontal="center" vertical="center" wrapText="1"/>
    </xf>
    <xf numFmtId="0" fontId="18" fillId="3" borderId="129" xfId="0" applyFont="1" applyFill="1" applyBorder="1" applyAlignment="1" applyProtection="1">
      <alignment horizontal="center" vertical="center" wrapText="1"/>
    </xf>
    <xf numFmtId="0" fontId="18" fillId="3" borderId="344" xfId="0" applyFont="1" applyFill="1" applyBorder="1" applyAlignment="1" applyProtection="1">
      <alignment horizontal="center" vertical="center" wrapText="1"/>
    </xf>
    <xf numFmtId="0" fontId="18" fillId="3" borderId="93"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0" fontId="62" fillId="0" borderId="44" xfId="0" applyFont="1" applyFill="1" applyBorder="1" applyAlignment="1" applyProtection="1">
      <alignment horizontal="center" vertical="center" wrapText="1"/>
    </xf>
    <xf numFmtId="0" fontId="25" fillId="0" borderId="42" xfId="0" applyFont="1" applyFill="1" applyBorder="1" applyAlignment="1" applyProtection="1">
      <alignment horizontal="center" vertical="center"/>
    </xf>
    <xf numFmtId="0" fontId="25" fillId="0" borderId="2" xfId="0" applyFont="1" applyFill="1" applyBorder="1" applyAlignment="1" applyProtection="1">
      <alignment horizontal="center" vertical="center"/>
    </xf>
    <xf numFmtId="0" fontId="25" fillId="0" borderId="43" xfId="0" applyFont="1" applyFill="1" applyBorder="1" applyAlignment="1" applyProtection="1">
      <alignment horizontal="center" vertical="center"/>
    </xf>
    <xf numFmtId="0" fontId="36" fillId="0" borderId="3" xfId="0" applyFont="1" applyFill="1" applyBorder="1" applyAlignment="1" applyProtection="1">
      <alignment horizontal="center" vertical="center" wrapText="1"/>
    </xf>
    <xf numFmtId="0" fontId="36" fillId="0" borderId="4"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shrinkToFit="1"/>
    </xf>
    <xf numFmtId="0" fontId="9" fillId="0" borderId="58" xfId="0" applyFont="1" applyFill="1" applyBorder="1" applyAlignment="1" applyProtection="1">
      <alignment horizontal="center" vertical="center" shrinkToFit="1"/>
    </xf>
    <xf numFmtId="0" fontId="25" fillId="0" borderId="42" xfId="0" applyFont="1" applyFill="1" applyBorder="1" applyAlignment="1" applyProtection="1">
      <alignment horizontal="center" vertical="center" wrapText="1"/>
    </xf>
    <xf numFmtId="0" fontId="25" fillId="0" borderId="2" xfId="0" applyFont="1" applyFill="1" applyBorder="1" applyAlignment="1" applyProtection="1">
      <alignment horizontal="center" vertical="center" wrapText="1"/>
    </xf>
    <xf numFmtId="0" fontId="25" fillId="0" borderId="43" xfId="0" applyFont="1" applyFill="1" applyBorder="1" applyAlignment="1" applyProtection="1">
      <alignment horizontal="center" vertical="center" wrapText="1"/>
    </xf>
    <xf numFmtId="0" fontId="36" fillId="0" borderId="58" xfId="0" applyFont="1" applyFill="1" applyBorder="1" applyAlignment="1" applyProtection="1">
      <alignment horizontal="center" vertical="center" wrapText="1"/>
    </xf>
    <xf numFmtId="0" fontId="36" fillId="0" borderId="59" xfId="0" applyFont="1" applyFill="1" applyBorder="1" applyAlignment="1" applyProtection="1">
      <alignment horizontal="center" vertical="center" wrapText="1"/>
    </xf>
    <xf numFmtId="0" fontId="36" fillId="0" borderId="10" xfId="0" applyFont="1" applyFill="1" applyBorder="1" applyAlignment="1" applyProtection="1">
      <alignment horizontal="center" vertical="center" wrapText="1"/>
    </xf>
    <xf numFmtId="0" fontId="36" fillId="0" borderId="33" xfId="0" applyFont="1" applyFill="1" applyBorder="1" applyAlignment="1" applyProtection="1">
      <alignment horizontal="center" vertical="center" wrapText="1"/>
    </xf>
    <xf numFmtId="0" fontId="36" fillId="0" borderId="28" xfId="0" applyFont="1" applyFill="1" applyBorder="1" applyAlignment="1" applyProtection="1">
      <alignment horizontal="center" vertical="center" wrapText="1"/>
    </xf>
    <xf numFmtId="192" fontId="9" fillId="2" borderId="8" xfId="1" applyNumberFormat="1" applyFont="1" applyFill="1" applyBorder="1" applyAlignment="1" applyProtection="1">
      <alignment horizontal="right" vertical="center" shrinkToFit="1"/>
    </xf>
    <xf numFmtId="0" fontId="25" fillId="0" borderId="65" xfId="0" applyFont="1" applyFill="1" applyBorder="1" applyAlignment="1" applyProtection="1">
      <alignment horizontal="center" vertical="center"/>
    </xf>
    <xf numFmtId="0" fontId="25" fillId="0" borderId="58" xfId="0" applyFont="1" applyFill="1" applyBorder="1" applyAlignment="1" applyProtection="1">
      <alignment horizontal="center" vertical="center"/>
    </xf>
    <xf numFmtId="0" fontId="25" fillId="0" borderId="145" xfId="0" applyFont="1" applyFill="1" applyBorder="1" applyAlignment="1" applyProtection="1">
      <alignment horizontal="center" vertical="center" wrapText="1" shrinkToFit="1"/>
    </xf>
    <xf numFmtId="0" fontId="25" fillId="0" borderId="219" xfId="0" applyFont="1" applyFill="1" applyBorder="1" applyAlignment="1" applyProtection="1">
      <alignment horizontal="center" vertical="center" wrapText="1" shrinkToFit="1"/>
    </xf>
    <xf numFmtId="0" fontId="25" fillId="0" borderId="271" xfId="0" applyFont="1" applyFill="1" applyBorder="1" applyAlignment="1" applyProtection="1">
      <alignment horizontal="center" vertical="center" wrapText="1" shrinkToFit="1"/>
    </xf>
    <xf numFmtId="0" fontId="18" fillId="6" borderId="247" xfId="0" applyFont="1" applyFill="1" applyBorder="1" applyAlignment="1" applyProtection="1">
      <alignment horizontal="center" vertical="center" shrinkToFit="1"/>
      <protection locked="0"/>
    </xf>
    <xf numFmtId="0" fontId="18" fillId="6" borderId="0" xfId="0" applyFont="1" applyFill="1" applyBorder="1" applyAlignment="1" applyProtection="1">
      <alignment horizontal="center" vertical="center" shrinkToFit="1"/>
      <protection locked="0"/>
    </xf>
    <xf numFmtId="0" fontId="18" fillId="3" borderId="89" xfId="0" applyFont="1" applyFill="1" applyBorder="1" applyAlignment="1" applyProtection="1">
      <alignment horizontal="center" vertical="center" shrinkToFit="1"/>
    </xf>
    <xf numFmtId="0" fontId="18" fillId="3" borderId="330" xfId="0" applyFont="1" applyFill="1" applyBorder="1" applyAlignment="1" applyProtection="1">
      <alignment horizontal="center" vertical="center" shrinkToFit="1"/>
    </xf>
    <xf numFmtId="0" fontId="18" fillId="3" borderId="53" xfId="0" applyFont="1" applyFill="1" applyBorder="1" applyAlignment="1" applyProtection="1">
      <alignment horizontal="center" vertical="center" shrinkToFit="1"/>
    </xf>
    <xf numFmtId="0" fontId="18" fillId="3" borderId="355" xfId="0" applyFont="1" applyFill="1" applyBorder="1" applyAlignment="1" applyProtection="1">
      <alignment horizontal="center" vertical="center" shrinkToFit="1"/>
    </xf>
    <xf numFmtId="0" fontId="25" fillId="0" borderId="3" xfId="0" applyFont="1" applyFill="1" applyBorder="1" applyAlignment="1" applyProtection="1">
      <alignment horizontal="center" vertical="center"/>
    </xf>
    <xf numFmtId="0" fontId="25" fillId="0" borderId="5" xfId="0" applyFont="1" applyFill="1" applyBorder="1" applyAlignment="1" applyProtection="1">
      <alignment horizontal="center" vertical="center"/>
    </xf>
    <xf numFmtId="0" fontId="18" fillId="2" borderId="233" xfId="0" applyFont="1" applyFill="1" applyBorder="1" applyAlignment="1" applyProtection="1">
      <alignment horizontal="center" vertical="center"/>
    </xf>
    <xf numFmtId="0" fontId="18" fillId="2" borderId="234" xfId="0" applyFont="1" applyFill="1" applyBorder="1" applyAlignment="1" applyProtection="1">
      <alignment horizontal="center" vertical="center"/>
    </xf>
    <xf numFmtId="0" fontId="18" fillId="2" borderId="293" xfId="0" applyFont="1" applyFill="1" applyBorder="1" applyAlignment="1" applyProtection="1">
      <alignment horizontal="center" vertical="center"/>
    </xf>
    <xf numFmtId="0" fontId="18" fillId="2" borderId="384" xfId="0" applyFont="1" applyFill="1" applyBorder="1" applyAlignment="1" applyProtection="1">
      <alignment horizontal="center" vertical="center" shrinkToFit="1"/>
    </xf>
    <xf numFmtId="0" fontId="18" fillId="2" borderId="163" xfId="0" applyFont="1" applyFill="1" applyBorder="1" applyAlignment="1" applyProtection="1">
      <alignment horizontal="center" vertical="center" shrinkToFit="1"/>
    </xf>
    <xf numFmtId="0" fontId="18" fillId="2" borderId="374" xfId="0" applyFont="1" applyFill="1" applyBorder="1" applyAlignment="1" applyProtection="1">
      <alignment horizontal="center" vertical="center" shrinkToFit="1"/>
    </xf>
    <xf numFmtId="0" fontId="18" fillId="2" borderId="280" xfId="0" applyFont="1" applyFill="1" applyBorder="1" applyAlignment="1" applyProtection="1">
      <alignment horizontal="center" vertical="center" shrinkToFit="1"/>
    </xf>
    <xf numFmtId="0" fontId="18" fillId="6" borderId="270" xfId="0" applyFont="1" applyFill="1" applyBorder="1" applyAlignment="1" applyProtection="1">
      <alignment horizontal="center" vertical="center" shrinkToFit="1"/>
      <protection locked="0"/>
    </xf>
    <xf numFmtId="0" fontId="18" fillId="6" borderId="315" xfId="0" applyFont="1" applyFill="1" applyBorder="1" applyAlignment="1" applyProtection="1">
      <alignment horizontal="center" vertical="center" shrinkToFit="1"/>
      <protection locked="0"/>
    </xf>
    <xf numFmtId="0" fontId="18" fillId="6" borderId="373" xfId="0" applyFont="1" applyFill="1" applyBorder="1" applyAlignment="1" applyProtection="1">
      <alignment horizontal="center" vertical="center" shrinkToFit="1"/>
      <protection locked="0"/>
    </xf>
    <xf numFmtId="0" fontId="18" fillId="0" borderId="328" xfId="0" applyFont="1" applyBorder="1" applyAlignment="1" applyProtection="1">
      <alignment horizontal="center" vertical="center" shrinkToFit="1"/>
    </xf>
    <xf numFmtId="0" fontId="18" fillId="0" borderId="133" xfId="0" applyFont="1" applyBorder="1" applyAlignment="1" applyProtection="1">
      <alignment horizontal="center" vertical="center" shrinkToFit="1"/>
    </xf>
    <xf numFmtId="0" fontId="18" fillId="6" borderId="251" xfId="0" applyFont="1" applyFill="1" applyBorder="1" applyAlignment="1" applyProtection="1">
      <alignment horizontal="center" vertical="center" shrinkToFit="1"/>
      <protection locked="0"/>
    </xf>
    <xf numFmtId="0" fontId="18" fillId="6" borderId="246" xfId="0" applyFont="1" applyFill="1" applyBorder="1" applyAlignment="1" applyProtection="1">
      <alignment horizontal="center" vertical="center" shrinkToFit="1"/>
      <protection locked="0"/>
    </xf>
    <xf numFmtId="0" fontId="18" fillId="6" borderId="254" xfId="0" applyFont="1" applyFill="1" applyBorder="1" applyAlignment="1" applyProtection="1">
      <alignment horizontal="center" vertical="center" shrinkToFit="1"/>
      <protection locked="0"/>
    </xf>
    <xf numFmtId="0" fontId="18" fillId="6" borderId="328" xfId="0" applyFont="1" applyFill="1" applyBorder="1" applyAlignment="1" applyProtection="1">
      <alignment horizontal="center" vertical="center" shrinkToFit="1"/>
      <protection locked="0"/>
    </xf>
    <xf numFmtId="0" fontId="18" fillId="2" borderId="231" xfId="0" applyFont="1" applyFill="1" applyBorder="1" applyAlignment="1" applyProtection="1">
      <alignment horizontal="center" vertical="center" shrinkToFit="1"/>
    </xf>
    <xf numFmtId="0" fontId="18" fillId="2" borderId="363" xfId="0" applyFont="1" applyFill="1" applyBorder="1" applyAlignment="1" applyProtection="1">
      <alignment horizontal="center" vertical="center" shrinkToFit="1"/>
    </xf>
    <xf numFmtId="0" fontId="19" fillId="0" borderId="403" xfId="0" applyFont="1" applyFill="1" applyBorder="1" applyAlignment="1" applyProtection="1">
      <alignment horizontal="center" vertical="center" shrinkToFit="1"/>
    </xf>
    <xf numFmtId="0" fontId="19" fillId="0" borderId="404" xfId="0" applyFont="1" applyFill="1" applyBorder="1" applyAlignment="1" applyProtection="1">
      <alignment horizontal="center" vertical="center" shrinkToFit="1"/>
    </xf>
    <xf numFmtId="0" fontId="19" fillId="0" borderId="400" xfId="0" applyFont="1" applyFill="1" applyBorder="1" applyAlignment="1" applyProtection="1">
      <alignment horizontal="center" vertical="center" shrinkToFit="1"/>
    </xf>
    <xf numFmtId="0" fontId="19" fillId="0" borderId="397" xfId="0" applyFont="1" applyFill="1" applyBorder="1" applyAlignment="1" applyProtection="1">
      <alignment horizontal="center" vertical="center" shrinkToFit="1"/>
    </xf>
    <xf numFmtId="183" fontId="36" fillId="2" borderId="451" xfId="0" applyNumberFormat="1" applyFont="1" applyFill="1" applyBorder="1" applyAlignment="1" applyProtection="1">
      <alignment horizontal="center" vertical="center" shrinkToFit="1"/>
    </xf>
    <xf numFmtId="183" fontId="36" fillId="2" borderId="127" xfId="0" applyNumberFormat="1" applyFont="1" applyFill="1" applyBorder="1" applyAlignment="1" applyProtection="1">
      <alignment horizontal="center" vertical="center" shrinkToFit="1"/>
    </xf>
    <xf numFmtId="183" fontId="36" fillId="2" borderId="455" xfId="0" applyNumberFormat="1" applyFont="1" applyFill="1" applyBorder="1" applyAlignment="1" applyProtection="1">
      <alignment horizontal="center" vertical="center" shrinkToFit="1"/>
    </xf>
    <xf numFmtId="0" fontId="36" fillId="2" borderId="449" xfId="0" applyFont="1" applyFill="1" applyBorder="1" applyAlignment="1" applyProtection="1">
      <alignment horizontal="center" vertical="center" shrinkToFit="1"/>
    </xf>
    <xf numFmtId="0" fontId="36" fillId="2" borderId="450" xfId="0" applyFont="1" applyFill="1" applyBorder="1" applyAlignment="1" applyProtection="1">
      <alignment horizontal="center" vertical="center" shrinkToFit="1"/>
    </xf>
    <xf numFmtId="0" fontId="18" fillId="2" borderId="20" xfId="0" applyFont="1" applyFill="1" applyBorder="1" applyAlignment="1" applyProtection="1">
      <alignment horizontal="center" vertical="center" shrinkToFit="1"/>
    </xf>
    <xf numFmtId="0" fontId="18" fillId="2" borderId="248" xfId="0" applyFont="1" applyFill="1" applyBorder="1" applyAlignment="1" applyProtection="1">
      <alignment horizontal="center" vertical="center" shrinkToFit="1"/>
    </xf>
    <xf numFmtId="0" fontId="18" fillId="2" borderId="157" xfId="0" applyFont="1" applyFill="1" applyBorder="1" applyAlignment="1" applyProtection="1">
      <alignment horizontal="center" vertical="center" shrinkToFit="1"/>
    </xf>
    <xf numFmtId="0" fontId="18" fillId="2" borderId="378" xfId="0" applyFont="1" applyFill="1" applyBorder="1" applyAlignment="1" applyProtection="1">
      <alignment horizontal="center" vertical="center" shrinkToFit="1"/>
    </xf>
    <xf numFmtId="0" fontId="18" fillId="2" borderId="381" xfId="0" applyFont="1" applyFill="1" applyBorder="1" applyAlignment="1" applyProtection="1">
      <alignment horizontal="center" vertical="center" shrinkToFit="1"/>
    </xf>
    <xf numFmtId="0" fontId="18" fillId="2" borderId="362" xfId="0" applyFont="1" applyFill="1" applyBorder="1" applyAlignment="1" applyProtection="1">
      <alignment horizontal="center" vertical="center" shrinkToFit="1"/>
    </xf>
    <xf numFmtId="0" fontId="50" fillId="2" borderId="0" xfId="0" applyFont="1" applyFill="1" applyAlignment="1" applyProtection="1">
      <alignment horizontal="right" vertical="center"/>
    </xf>
    <xf numFmtId="0" fontId="18" fillId="3" borderId="291" xfId="0" applyFont="1" applyFill="1" applyBorder="1" applyAlignment="1" applyProtection="1">
      <alignment horizontal="center" vertical="center" wrapText="1"/>
    </xf>
    <xf numFmtId="0" fontId="18" fillId="3" borderId="183" xfId="0" applyFont="1" applyFill="1" applyBorder="1" applyAlignment="1" applyProtection="1">
      <alignment horizontal="center" vertical="center" wrapText="1"/>
    </xf>
    <xf numFmtId="0" fontId="18" fillId="3" borderId="184" xfId="0" applyFont="1" applyFill="1" applyBorder="1" applyAlignment="1" applyProtection="1">
      <alignment horizontal="center" vertical="center" wrapText="1"/>
    </xf>
    <xf numFmtId="0" fontId="18" fillId="3" borderId="298" xfId="0" applyFont="1" applyFill="1" applyBorder="1" applyAlignment="1" applyProtection="1">
      <alignment horizontal="center" vertical="center" wrapText="1"/>
    </xf>
    <xf numFmtId="0" fontId="18" fillId="3" borderId="295" xfId="0" applyFont="1" applyFill="1" applyBorder="1" applyAlignment="1" applyProtection="1">
      <alignment horizontal="center" vertical="center" wrapText="1"/>
    </xf>
    <xf numFmtId="0" fontId="18" fillId="2" borderId="421" xfId="0" applyFont="1" applyFill="1" applyBorder="1" applyAlignment="1" applyProtection="1">
      <alignment horizontal="center" vertical="center" shrinkToFit="1"/>
    </xf>
    <xf numFmtId="0" fontId="18" fillId="2" borderId="223" xfId="0" applyFont="1" applyFill="1" applyBorder="1" applyAlignment="1" applyProtection="1">
      <alignment horizontal="center" vertical="center" shrinkToFit="1"/>
    </xf>
    <xf numFmtId="0" fontId="18" fillId="2" borderId="358" xfId="0" applyFont="1" applyFill="1" applyBorder="1" applyAlignment="1" applyProtection="1">
      <alignment horizontal="center" vertical="center" wrapText="1" shrinkToFit="1"/>
    </xf>
    <xf numFmtId="0" fontId="18" fillId="2" borderId="363" xfId="0" applyFont="1" applyFill="1" applyBorder="1" applyAlignment="1" applyProtection="1">
      <alignment horizontal="center" vertical="center" wrapText="1" shrinkToFit="1"/>
    </xf>
    <xf numFmtId="0" fontId="18" fillId="2" borderId="230" xfId="0" applyFont="1" applyFill="1" applyBorder="1" applyAlignment="1" applyProtection="1">
      <alignment horizontal="center" vertical="center" shrinkToFit="1"/>
    </xf>
    <xf numFmtId="0" fontId="18" fillId="2" borderId="117" xfId="0" applyFont="1" applyFill="1" applyBorder="1" applyAlignment="1" applyProtection="1">
      <alignment horizontal="center" vertical="center" shrinkToFit="1"/>
    </xf>
    <xf numFmtId="0" fontId="18" fillId="2" borderId="294" xfId="0" applyFont="1" applyFill="1" applyBorder="1" applyAlignment="1" applyProtection="1">
      <alignment horizontal="center" vertical="center" shrinkToFit="1"/>
    </xf>
    <xf numFmtId="0" fontId="18" fillId="2" borderId="229" xfId="0" applyFont="1" applyFill="1" applyBorder="1" applyAlignment="1" applyProtection="1">
      <alignment horizontal="center" vertical="center" shrinkToFit="1"/>
    </xf>
    <xf numFmtId="0" fontId="18" fillId="3" borderId="191" xfId="0" applyFont="1" applyFill="1" applyBorder="1" applyAlignment="1" applyProtection="1">
      <alignment horizontal="center" vertical="center" wrapText="1"/>
    </xf>
    <xf numFmtId="0" fontId="18" fillId="3" borderId="192" xfId="0" applyFont="1" applyFill="1" applyBorder="1" applyAlignment="1" applyProtection="1">
      <alignment horizontal="center" vertical="center" wrapText="1"/>
    </xf>
    <xf numFmtId="0" fontId="18" fillId="2" borderId="202" xfId="0" applyFont="1" applyFill="1" applyBorder="1" applyAlignment="1" applyProtection="1">
      <alignment horizontal="center" vertical="center"/>
    </xf>
    <xf numFmtId="0" fontId="18" fillId="2" borderId="196" xfId="0" applyFont="1" applyFill="1" applyBorder="1" applyAlignment="1" applyProtection="1">
      <alignment horizontal="center" vertical="center"/>
    </xf>
    <xf numFmtId="0" fontId="18" fillId="2" borderId="172" xfId="0" applyFont="1" applyFill="1" applyBorder="1" applyAlignment="1" applyProtection="1">
      <alignment horizontal="center" vertical="center" shrinkToFit="1"/>
    </xf>
    <xf numFmtId="0" fontId="18" fillId="2" borderId="173" xfId="0" applyFont="1" applyFill="1" applyBorder="1" applyAlignment="1" applyProtection="1">
      <alignment horizontal="center" vertical="center" shrinkToFit="1"/>
    </xf>
    <xf numFmtId="0" fontId="18" fillId="2" borderId="197" xfId="0" applyFont="1" applyFill="1" applyBorder="1" applyAlignment="1" applyProtection="1">
      <alignment horizontal="center" vertical="center" shrinkToFit="1"/>
    </xf>
    <xf numFmtId="0" fontId="18" fillId="2" borderId="198" xfId="0" applyFont="1" applyFill="1" applyBorder="1" applyAlignment="1" applyProtection="1">
      <alignment horizontal="center" vertical="center" shrinkToFit="1"/>
    </xf>
    <xf numFmtId="0" fontId="18" fillId="2" borderId="231" xfId="0" applyFont="1" applyFill="1" applyBorder="1" applyAlignment="1" applyProtection="1">
      <alignment horizontal="center" vertical="center" wrapText="1" shrinkToFit="1"/>
    </xf>
    <xf numFmtId="0" fontId="18" fillId="2" borderId="15" xfId="0" applyFont="1" applyFill="1" applyBorder="1" applyAlignment="1" applyProtection="1">
      <alignment horizontal="center" vertical="center" wrapText="1" shrinkToFit="1"/>
    </xf>
    <xf numFmtId="0" fontId="18" fillId="2" borderId="239" xfId="0" applyFont="1" applyFill="1" applyBorder="1" applyAlignment="1" applyProtection="1">
      <alignment horizontal="center" vertical="center" wrapText="1" shrinkToFit="1"/>
    </xf>
    <xf numFmtId="0" fontId="18" fillId="2" borderId="14" xfId="0" applyFont="1" applyFill="1" applyBorder="1" applyAlignment="1" applyProtection="1">
      <alignment horizontal="center" vertical="center" wrapText="1" shrinkToFit="1"/>
    </xf>
    <xf numFmtId="0" fontId="18" fillId="2" borderId="225" xfId="0" applyFont="1" applyFill="1" applyBorder="1" applyAlignment="1" applyProtection="1">
      <alignment horizontal="center" vertical="center" shrinkToFit="1"/>
    </xf>
    <xf numFmtId="0" fontId="18" fillId="2" borderId="224" xfId="0" applyFont="1" applyFill="1" applyBorder="1" applyAlignment="1" applyProtection="1">
      <alignment horizontal="center" vertical="center" shrinkToFit="1"/>
    </xf>
    <xf numFmtId="0" fontId="18" fillId="2" borderId="387" xfId="0" applyFont="1" applyFill="1" applyBorder="1" applyAlignment="1" applyProtection="1">
      <alignment horizontal="center" vertical="center" wrapText="1" shrinkToFit="1"/>
    </xf>
    <xf numFmtId="0" fontId="18" fillId="2" borderId="388" xfId="0" applyFont="1" applyFill="1" applyBorder="1" applyAlignment="1" applyProtection="1">
      <alignment horizontal="center" vertical="center" wrapText="1" shrinkToFit="1"/>
    </xf>
    <xf numFmtId="0" fontId="18" fillId="2" borderId="323" xfId="0" applyFont="1" applyFill="1" applyBorder="1" applyAlignment="1" applyProtection="1">
      <alignment horizontal="center" vertical="center" wrapText="1" shrinkToFit="1"/>
    </xf>
    <xf numFmtId="0" fontId="18" fillId="2" borderId="242" xfId="0" applyFont="1" applyFill="1" applyBorder="1" applyAlignment="1" applyProtection="1">
      <alignment horizontal="center" vertical="center" wrapText="1" shrinkToFit="1"/>
    </xf>
    <xf numFmtId="0" fontId="18" fillId="2" borderId="391" xfId="0" applyFont="1" applyFill="1" applyBorder="1" applyAlignment="1" applyProtection="1">
      <alignment horizontal="center" vertical="center" wrapText="1" shrinkToFit="1"/>
    </xf>
    <xf numFmtId="0" fontId="18" fillId="2" borderId="392" xfId="0" applyFont="1" applyFill="1" applyBorder="1" applyAlignment="1" applyProtection="1">
      <alignment horizontal="center" vertical="center" wrapText="1" shrinkToFit="1"/>
    </xf>
    <xf numFmtId="0" fontId="18" fillId="2" borderId="279" xfId="0" applyFont="1" applyFill="1" applyBorder="1" applyAlignment="1" applyProtection="1">
      <alignment horizontal="center" vertical="center" shrinkToFit="1"/>
    </xf>
    <xf numFmtId="0" fontId="18" fillId="2" borderId="278" xfId="0" applyFont="1" applyFill="1" applyBorder="1" applyAlignment="1" applyProtection="1">
      <alignment horizontal="center" vertical="center" shrinkToFit="1"/>
    </xf>
    <xf numFmtId="0" fontId="18" fillId="4" borderId="217" xfId="0" applyFont="1" applyFill="1" applyBorder="1" applyAlignment="1" applyProtection="1">
      <alignment horizontal="center" vertical="center"/>
      <protection locked="0"/>
    </xf>
    <xf numFmtId="0" fontId="18" fillId="4" borderId="131" xfId="0" applyFont="1" applyFill="1" applyBorder="1" applyAlignment="1" applyProtection="1">
      <alignment horizontal="center" vertical="center"/>
      <protection locked="0"/>
    </xf>
    <xf numFmtId="0" fontId="18" fillId="4" borderId="222" xfId="0" applyFont="1" applyFill="1" applyBorder="1" applyAlignment="1" applyProtection="1">
      <alignment horizontal="center" vertical="center"/>
      <protection locked="0"/>
    </xf>
    <xf numFmtId="0" fontId="18" fillId="4" borderId="176" xfId="0" applyFont="1" applyFill="1" applyBorder="1" applyAlignment="1" applyProtection="1">
      <alignment horizontal="center" vertical="center"/>
      <protection locked="0"/>
    </xf>
    <xf numFmtId="0" fontId="18" fillId="2" borderId="27" xfId="0" applyFont="1" applyFill="1" applyBorder="1" applyAlignment="1" applyProtection="1">
      <alignment horizontal="center" vertical="center"/>
    </xf>
    <xf numFmtId="0" fontId="18" fillId="2" borderId="33" xfId="0" applyFont="1" applyFill="1" applyBorder="1" applyAlignment="1" applyProtection="1">
      <alignment horizontal="center" vertical="center"/>
    </xf>
    <xf numFmtId="0" fontId="18" fillId="2" borderId="11" xfId="0" applyFont="1" applyFill="1" applyBorder="1" applyAlignment="1" applyProtection="1">
      <alignment horizontal="center" vertical="center"/>
    </xf>
    <xf numFmtId="0" fontId="18" fillId="2" borderId="221" xfId="0" applyFont="1" applyFill="1" applyBorder="1" applyAlignment="1" applyProtection="1">
      <alignment horizontal="center" vertical="center" shrinkToFit="1"/>
    </xf>
    <xf numFmtId="0" fontId="18" fillId="2" borderId="228" xfId="0" applyFont="1" applyFill="1" applyBorder="1" applyAlignment="1" applyProtection="1">
      <alignment horizontal="center" vertical="center" shrinkToFit="1"/>
    </xf>
    <xf numFmtId="0" fontId="18" fillId="2" borderId="327" xfId="0" applyFont="1" applyFill="1" applyBorder="1" applyAlignment="1" applyProtection="1">
      <alignment horizontal="center" vertical="center" shrinkToFit="1"/>
    </xf>
    <xf numFmtId="0" fontId="18" fillId="2" borderId="64" xfId="0" applyFont="1" applyFill="1" applyBorder="1" applyAlignment="1" applyProtection="1">
      <alignment horizontal="center" vertical="center" shrinkToFit="1"/>
    </xf>
    <xf numFmtId="0" fontId="18" fillId="2" borderId="359" xfId="0" applyFont="1" applyFill="1" applyBorder="1" applyAlignment="1" applyProtection="1">
      <alignment horizontal="center" vertical="center" wrapText="1" shrinkToFit="1"/>
    </xf>
    <xf numFmtId="0" fontId="18" fillId="2" borderId="373" xfId="0" applyFont="1" applyFill="1" applyBorder="1" applyAlignment="1" applyProtection="1">
      <alignment horizontal="left" vertical="center" shrinkToFit="1"/>
    </xf>
    <xf numFmtId="0" fontId="18" fillId="2" borderId="371" xfId="0" applyFont="1" applyFill="1" applyBorder="1" applyAlignment="1" applyProtection="1">
      <alignment horizontal="left" vertical="center" shrinkToFit="1"/>
    </xf>
    <xf numFmtId="0" fontId="18" fillId="2" borderId="378" xfId="0" applyFont="1" applyFill="1" applyBorder="1" applyAlignment="1" applyProtection="1">
      <alignment horizontal="left" vertical="center" shrinkToFit="1"/>
    </xf>
    <xf numFmtId="0" fontId="18" fillId="6" borderId="332" xfId="0" applyFont="1" applyFill="1" applyBorder="1" applyAlignment="1" applyProtection="1">
      <alignment horizontal="center" vertical="center" shrinkToFit="1"/>
      <protection locked="0"/>
    </xf>
    <xf numFmtId="0" fontId="18" fillId="6" borderId="329" xfId="0" applyFont="1" applyFill="1" applyBorder="1" applyAlignment="1" applyProtection="1">
      <alignment horizontal="center" vertical="center" shrinkToFit="1"/>
      <protection locked="0"/>
    </xf>
    <xf numFmtId="0" fontId="18" fillId="2" borderId="89" xfId="0" applyFont="1" applyFill="1" applyBorder="1" applyAlignment="1" applyProtection="1">
      <alignment horizontal="center" vertical="center" shrinkToFit="1"/>
    </xf>
    <xf numFmtId="0" fontId="18" fillId="2" borderId="330" xfId="0" applyFont="1" applyFill="1" applyBorder="1" applyAlignment="1" applyProtection="1">
      <alignment horizontal="center" vertical="center" shrinkToFit="1"/>
    </xf>
    <xf numFmtId="0" fontId="18" fillId="6" borderId="420" xfId="0" applyFont="1" applyFill="1" applyBorder="1" applyAlignment="1" applyProtection="1">
      <alignment horizontal="center" vertical="center" shrinkToFit="1"/>
      <protection locked="0"/>
    </xf>
    <xf numFmtId="0" fontId="18" fillId="6" borderId="130" xfId="0" applyFont="1" applyFill="1" applyBorder="1" applyAlignment="1" applyProtection="1">
      <alignment horizontal="center" vertical="center" shrinkToFit="1"/>
      <protection locked="0"/>
    </xf>
    <xf numFmtId="0" fontId="18" fillId="2" borderId="136" xfId="0" applyFont="1" applyFill="1" applyBorder="1" applyAlignment="1" applyProtection="1">
      <alignment horizontal="center" vertical="center" shrinkToFit="1"/>
    </xf>
    <xf numFmtId="0" fontId="18" fillId="2" borderId="249" xfId="0" applyFont="1" applyFill="1" applyBorder="1" applyAlignment="1" applyProtection="1">
      <alignment horizontal="center" vertical="center" shrinkToFit="1"/>
    </xf>
    <xf numFmtId="0" fontId="18" fillId="2" borderId="175" xfId="0" applyFont="1" applyFill="1" applyBorder="1" applyAlignment="1" applyProtection="1">
      <alignment horizontal="center" vertical="center" shrinkToFit="1"/>
    </xf>
    <xf numFmtId="0" fontId="18" fillId="2" borderId="417" xfId="0" applyFont="1" applyFill="1" applyBorder="1" applyAlignment="1" applyProtection="1">
      <alignment horizontal="center" vertical="center" shrinkToFit="1"/>
    </xf>
    <xf numFmtId="0" fontId="18" fillId="6" borderId="418" xfId="0" applyFont="1" applyFill="1" applyBorder="1" applyAlignment="1" applyProtection="1">
      <alignment horizontal="center" vertical="center" shrinkToFit="1"/>
      <protection locked="0"/>
    </xf>
    <xf numFmtId="0" fontId="18" fillId="6" borderId="288" xfId="0" applyFont="1" applyFill="1" applyBorder="1" applyAlignment="1" applyProtection="1">
      <alignment horizontal="center" vertical="center" shrinkToFit="1"/>
      <protection locked="0"/>
    </xf>
    <xf numFmtId="0" fontId="18" fillId="3" borderId="482" xfId="0" applyFont="1" applyFill="1" applyBorder="1" applyAlignment="1" applyProtection="1">
      <alignment horizontal="center" vertical="center" wrapText="1"/>
    </xf>
    <xf numFmtId="0" fontId="18" fillId="3" borderId="470" xfId="0" applyFont="1" applyFill="1" applyBorder="1" applyAlignment="1" applyProtection="1">
      <alignment horizontal="center" vertical="center" wrapText="1"/>
    </xf>
    <xf numFmtId="0" fontId="18" fillId="3" borderId="483" xfId="0" applyFont="1" applyFill="1" applyBorder="1" applyAlignment="1" applyProtection="1">
      <alignment horizontal="center" vertical="center" wrapText="1"/>
    </xf>
    <xf numFmtId="0" fontId="18" fillId="3" borderId="484" xfId="0" applyFont="1" applyFill="1" applyBorder="1" applyAlignment="1" applyProtection="1">
      <alignment horizontal="center" vertical="center" wrapText="1"/>
    </xf>
    <xf numFmtId="0" fontId="18" fillId="3" borderId="90" xfId="0" applyFont="1" applyFill="1" applyBorder="1" applyAlignment="1" applyProtection="1">
      <alignment horizontal="center" vertical="center" wrapText="1"/>
    </xf>
    <xf numFmtId="0" fontId="18" fillId="3" borderId="94" xfId="0" applyFont="1" applyFill="1" applyBorder="1" applyAlignment="1" applyProtection="1">
      <alignment horizontal="center" vertical="center" wrapText="1"/>
    </xf>
    <xf numFmtId="0" fontId="18" fillId="3" borderId="35" xfId="0" applyFont="1" applyFill="1" applyBorder="1" applyAlignment="1" applyProtection="1">
      <alignment horizontal="center" vertical="center" wrapText="1"/>
    </xf>
    <xf numFmtId="0" fontId="18" fillId="3" borderId="36" xfId="0" applyFont="1" applyFill="1" applyBorder="1" applyAlignment="1" applyProtection="1">
      <alignment horizontal="center" vertical="center" wrapText="1"/>
    </xf>
    <xf numFmtId="0" fontId="18" fillId="2" borderId="433" xfId="0" applyFont="1" applyFill="1" applyBorder="1" applyAlignment="1" applyProtection="1">
      <alignment horizontal="center" vertical="center" shrinkToFit="1"/>
    </xf>
    <xf numFmtId="0" fontId="18" fillId="2" borderId="434" xfId="0" applyFont="1" applyFill="1" applyBorder="1" applyAlignment="1" applyProtection="1">
      <alignment horizontal="center" vertical="center" shrinkToFit="1"/>
    </xf>
    <xf numFmtId="0" fontId="18" fillId="2" borderId="435" xfId="0" applyFont="1" applyFill="1" applyBorder="1" applyAlignment="1" applyProtection="1">
      <alignment horizontal="center" vertical="center" shrinkToFit="1"/>
    </xf>
    <xf numFmtId="208" fontId="25" fillId="2" borderId="8" xfId="1" applyNumberFormat="1" applyFont="1" applyFill="1" applyBorder="1" applyAlignment="1" applyProtection="1">
      <alignment horizontal="right" vertical="center" shrinkToFit="1"/>
    </xf>
    <xf numFmtId="208" fontId="25" fillId="2" borderId="7" xfId="1" applyNumberFormat="1" applyFont="1" applyFill="1" applyBorder="1" applyAlignment="1" applyProtection="1">
      <alignment horizontal="right" vertical="center" shrinkToFit="1"/>
    </xf>
    <xf numFmtId="0" fontId="36" fillId="0" borderId="10" xfId="0" applyFont="1" applyFill="1" applyBorder="1" applyAlignment="1" applyProtection="1">
      <alignment horizontal="center" vertical="center"/>
    </xf>
    <xf numFmtId="0" fontId="36" fillId="0" borderId="33" xfId="0" applyFont="1" applyFill="1" applyBorder="1" applyAlignment="1" applyProtection="1">
      <alignment horizontal="center" vertical="center"/>
    </xf>
    <xf numFmtId="0" fontId="36" fillId="0" borderId="76" xfId="0" applyFont="1" applyFill="1" applyBorder="1" applyAlignment="1" applyProtection="1">
      <alignment horizontal="center" vertical="center"/>
    </xf>
    <xf numFmtId="0" fontId="36" fillId="0" borderId="9" xfId="0" applyFont="1" applyFill="1" applyBorder="1" applyAlignment="1" applyProtection="1">
      <alignment horizontal="center" vertical="center"/>
    </xf>
    <xf numFmtId="0" fontId="36" fillId="0" borderId="5" xfId="0" applyFont="1" applyFill="1" applyBorder="1" applyAlignment="1" applyProtection="1">
      <alignment horizontal="center" vertical="center" wrapText="1" shrinkToFit="1"/>
    </xf>
    <xf numFmtId="0" fontId="36" fillId="0" borderId="71" xfId="0" applyFont="1" applyFill="1" applyBorder="1" applyAlignment="1" applyProtection="1">
      <alignment horizontal="center" vertical="center" wrapText="1" shrinkToFit="1"/>
    </xf>
    <xf numFmtId="0" fontId="36" fillId="0" borderId="5" xfId="0" applyFont="1" applyFill="1" applyBorder="1" applyAlignment="1" applyProtection="1">
      <alignment horizontal="center" vertical="center"/>
    </xf>
    <xf numFmtId="0" fontId="36" fillId="0" borderId="8" xfId="0" applyFont="1" applyFill="1" applyBorder="1" applyAlignment="1" applyProtection="1">
      <alignment horizontal="center" vertical="center"/>
    </xf>
    <xf numFmtId="0" fontId="36" fillId="0" borderId="16" xfId="0" applyFont="1" applyFill="1" applyBorder="1" applyAlignment="1" applyProtection="1">
      <alignment horizontal="center" vertical="center" shrinkToFit="1"/>
    </xf>
    <xf numFmtId="0" fontId="36" fillId="0" borderId="17" xfId="0" applyFont="1" applyFill="1" applyBorder="1" applyAlignment="1" applyProtection="1">
      <alignment horizontal="center" vertical="center" shrinkToFit="1"/>
    </xf>
    <xf numFmtId="0" fontId="36" fillId="0" borderId="30" xfId="0" applyFont="1" applyFill="1" applyBorder="1" applyAlignment="1" applyProtection="1">
      <alignment horizontal="center" vertical="center" shrinkToFit="1"/>
    </xf>
    <xf numFmtId="0" fontId="36" fillId="0" borderId="93" xfId="0" applyFont="1" applyFill="1" applyBorder="1" applyAlignment="1" applyProtection="1">
      <alignment horizontal="center" vertical="center"/>
    </xf>
    <xf numFmtId="0" fontId="36" fillId="0" borderId="45" xfId="0" applyFont="1" applyFill="1" applyBorder="1" applyAlignment="1" applyProtection="1">
      <alignment horizontal="center" vertical="center"/>
    </xf>
    <xf numFmtId="0" fontId="36" fillId="0" borderId="97" xfId="0" applyFont="1" applyFill="1" applyBorder="1" applyAlignment="1" applyProtection="1">
      <alignment horizontal="center" vertical="center"/>
    </xf>
    <xf numFmtId="0" fontId="19" fillId="0" borderId="401" xfId="0" applyFont="1" applyFill="1" applyBorder="1" applyAlignment="1" applyProtection="1">
      <alignment horizontal="center" vertical="center" shrinkToFit="1"/>
    </xf>
    <xf numFmtId="0" fontId="36" fillId="0" borderId="28" xfId="0" applyFont="1" applyFill="1" applyBorder="1" applyAlignment="1" applyProtection="1">
      <alignment horizontal="center" vertical="center"/>
    </xf>
    <xf numFmtId="0" fontId="62" fillId="0" borderId="34" xfId="0" applyFont="1" applyFill="1" applyBorder="1" applyAlignment="1" applyProtection="1">
      <alignment horizontal="center" vertical="center" wrapText="1"/>
    </xf>
    <xf numFmtId="0" fontId="36" fillId="2" borderId="427" xfId="0" applyFont="1" applyFill="1" applyBorder="1" applyAlignment="1" applyProtection="1">
      <alignment horizontal="center" vertical="center" shrinkToFit="1"/>
    </xf>
    <xf numFmtId="0" fontId="18" fillId="3" borderId="334" xfId="0" applyFont="1" applyFill="1" applyBorder="1" applyAlignment="1" applyProtection="1">
      <alignment horizontal="center" vertical="center" shrinkToFit="1"/>
    </xf>
    <xf numFmtId="0" fontId="18" fillId="3" borderId="274" xfId="0" applyFont="1" applyFill="1" applyBorder="1" applyAlignment="1" applyProtection="1">
      <alignment horizontal="center" vertical="center" shrinkToFit="1"/>
    </xf>
    <xf numFmtId="0" fontId="18" fillId="3" borderId="275" xfId="0" applyFont="1" applyFill="1" applyBorder="1" applyAlignment="1" applyProtection="1">
      <alignment horizontal="center" vertical="center" shrinkToFit="1"/>
    </xf>
    <xf numFmtId="0" fontId="18" fillId="2" borderId="27" xfId="0" applyFont="1" applyFill="1" applyBorder="1" applyAlignment="1" applyProtection="1">
      <alignment horizontal="center" vertical="center" shrinkToFit="1"/>
    </xf>
    <xf numFmtId="0" fontId="18" fillId="2" borderId="356" xfId="0" applyFont="1" applyFill="1" applyBorder="1" applyAlignment="1" applyProtection="1">
      <alignment horizontal="center" vertical="center" shrinkToFit="1"/>
    </xf>
    <xf numFmtId="0" fontId="18" fillId="2" borderId="346" xfId="0" applyFont="1" applyFill="1" applyBorder="1" applyAlignment="1" applyProtection="1">
      <alignment horizontal="center" vertical="center" shrinkToFit="1"/>
    </xf>
    <xf numFmtId="0" fontId="36" fillId="3" borderId="27" xfId="0" applyFont="1" applyFill="1" applyBorder="1" applyAlignment="1" applyProtection="1">
      <alignment horizontal="center" vertical="center" wrapText="1"/>
    </xf>
    <xf numFmtId="0" fontId="36" fillId="3" borderId="28" xfId="0" applyFont="1" applyFill="1" applyBorder="1" applyAlignment="1" applyProtection="1">
      <alignment horizontal="center" vertical="center" wrapText="1"/>
    </xf>
    <xf numFmtId="192" fontId="18" fillId="2" borderId="8" xfId="0" applyNumberFormat="1" applyFont="1" applyFill="1" applyBorder="1" applyAlignment="1" applyProtection="1">
      <alignment horizontal="right" vertical="center" shrinkToFit="1"/>
    </xf>
    <xf numFmtId="0" fontId="18" fillId="3" borderId="329" xfId="0" applyFont="1" applyFill="1" applyBorder="1" applyAlignment="1" applyProtection="1">
      <alignment horizontal="center" vertical="center" shrinkToFit="1"/>
    </xf>
    <xf numFmtId="0" fontId="18" fillId="3" borderId="94" xfId="0" applyFont="1" applyFill="1" applyBorder="1" applyAlignment="1" applyProtection="1">
      <alignment horizontal="center" vertical="center" shrinkToFit="1"/>
    </xf>
    <xf numFmtId="0" fontId="18" fillId="3" borderId="439" xfId="0" applyFont="1" applyFill="1" applyBorder="1" applyAlignment="1" applyProtection="1">
      <alignment horizontal="center" vertical="center" shrinkToFit="1"/>
    </xf>
    <xf numFmtId="0" fontId="18" fillId="3" borderId="437" xfId="0" applyFont="1" applyFill="1" applyBorder="1" applyAlignment="1" applyProtection="1">
      <alignment horizontal="center" vertical="center" shrinkToFit="1"/>
    </xf>
    <xf numFmtId="0" fontId="18" fillId="3" borderId="438" xfId="0" applyFont="1" applyFill="1" applyBorder="1" applyAlignment="1" applyProtection="1">
      <alignment horizontal="center" vertical="center" shrinkToFit="1"/>
    </xf>
    <xf numFmtId="0" fontId="18" fillId="2" borderId="459" xfId="0" applyFont="1" applyFill="1" applyBorder="1" applyAlignment="1" applyProtection="1">
      <alignment horizontal="left" vertical="center" shrinkToFit="1"/>
    </xf>
    <xf numFmtId="0" fontId="18" fillId="2" borderId="382" xfId="0" applyFont="1" applyFill="1" applyBorder="1" applyAlignment="1" applyProtection="1">
      <alignment horizontal="left" vertical="center" shrinkToFit="1"/>
    </xf>
    <xf numFmtId="0" fontId="18" fillId="2" borderId="461" xfId="0" applyFont="1" applyFill="1" applyBorder="1" applyAlignment="1" applyProtection="1">
      <alignment horizontal="left" vertical="center" shrinkToFit="1"/>
    </xf>
    <xf numFmtId="208" fontId="9" fillId="2" borderId="20" xfId="1" applyNumberFormat="1" applyFont="1" applyFill="1" applyBorder="1" applyAlignment="1" applyProtection="1">
      <alignment horizontal="right" vertical="center" shrinkToFit="1"/>
    </xf>
    <xf numFmtId="208" fontId="9" fillId="2" borderId="19" xfId="1" applyNumberFormat="1" applyFont="1" applyFill="1" applyBorder="1" applyAlignment="1" applyProtection="1">
      <alignment horizontal="right" vertical="center" shrinkToFit="1"/>
    </xf>
    <xf numFmtId="0" fontId="9" fillId="3" borderId="1" xfId="1" applyFont="1" applyFill="1" applyBorder="1" applyAlignment="1" applyProtection="1">
      <alignment horizontal="center" vertical="center" wrapText="1" shrinkToFit="1"/>
    </xf>
    <xf numFmtId="0" fontId="9" fillId="3" borderId="71" xfId="1" applyFont="1" applyFill="1" applyBorder="1" applyAlignment="1" applyProtection="1">
      <alignment horizontal="center" vertical="center" wrapText="1" shrinkToFit="1"/>
    </xf>
    <xf numFmtId="209" fontId="18" fillId="2" borderId="8" xfId="0" applyNumberFormat="1" applyFont="1" applyFill="1" applyBorder="1" applyAlignment="1" applyProtection="1">
      <alignment horizontal="right" vertical="center" shrinkToFit="1"/>
    </xf>
    <xf numFmtId="209" fontId="18" fillId="2" borderId="7" xfId="0" applyNumberFormat="1" applyFont="1" applyFill="1" applyBorder="1" applyAlignment="1" applyProtection="1">
      <alignment horizontal="right" vertical="center" shrinkToFit="1"/>
    </xf>
    <xf numFmtId="0" fontId="18" fillId="2" borderId="126" xfId="0" applyFont="1" applyFill="1" applyBorder="1" applyAlignment="1" applyProtection="1">
      <alignment horizontal="center" vertical="center" shrinkToFit="1"/>
    </xf>
    <xf numFmtId="0" fontId="18" fillId="2" borderId="347" xfId="0" applyFont="1" applyFill="1" applyBorder="1" applyAlignment="1" applyProtection="1">
      <alignment horizontal="center" vertical="center" shrinkToFit="1"/>
    </xf>
    <xf numFmtId="0" fontId="9" fillId="3" borderId="67" xfId="1" applyFont="1" applyFill="1" applyBorder="1" applyAlignment="1" applyProtection="1">
      <alignment horizontal="center" vertical="center" wrapText="1" shrinkToFit="1"/>
    </xf>
    <xf numFmtId="0" fontId="9" fillId="3" borderId="97" xfId="1" applyFont="1" applyFill="1" applyBorder="1" applyAlignment="1" applyProtection="1">
      <alignment horizontal="center" vertical="center" wrapText="1" shrinkToFit="1"/>
    </xf>
    <xf numFmtId="0" fontId="9" fillId="3" borderId="2" xfId="1" applyFont="1" applyFill="1" applyBorder="1" applyAlignment="1" applyProtection="1">
      <alignment horizontal="center" vertical="center" wrapText="1" shrinkToFit="1"/>
    </xf>
    <xf numFmtId="0" fontId="18" fillId="2" borderId="197" xfId="0" applyFont="1" applyFill="1" applyBorder="1" applyAlignment="1" applyProtection="1">
      <alignment horizontal="center" vertical="center"/>
    </xf>
    <xf numFmtId="0" fontId="18" fillId="2" borderId="284" xfId="0" applyFont="1" applyFill="1" applyBorder="1" applyAlignment="1" applyProtection="1">
      <alignment horizontal="center" vertical="center"/>
    </xf>
    <xf numFmtId="0" fontId="18" fillId="2" borderId="133" xfId="0" applyFont="1" applyFill="1" applyBorder="1" applyAlignment="1" applyProtection="1">
      <alignment horizontal="center" vertical="center"/>
    </xf>
    <xf numFmtId="0" fontId="18" fillId="2" borderId="141" xfId="0" applyFont="1" applyFill="1" applyBorder="1" applyAlignment="1" applyProtection="1">
      <alignment horizontal="center" vertical="center"/>
    </xf>
    <xf numFmtId="0" fontId="18" fillId="2" borderId="393" xfId="0" applyFont="1" applyFill="1" applyBorder="1" applyAlignment="1" applyProtection="1">
      <alignment horizontal="center" vertical="center"/>
    </xf>
    <xf numFmtId="0" fontId="18" fillId="2" borderId="394" xfId="0" applyFont="1" applyFill="1" applyBorder="1" applyAlignment="1" applyProtection="1">
      <alignment horizontal="center" vertical="center"/>
    </xf>
    <xf numFmtId="195" fontId="9" fillId="2" borderId="227" xfId="1" applyNumberFormat="1" applyFont="1" applyFill="1" applyBorder="1" applyAlignment="1" applyProtection="1">
      <alignment horizontal="right" vertical="center" shrinkToFit="1"/>
    </xf>
    <xf numFmtId="195" fontId="9" fillId="2" borderId="228" xfId="1" applyNumberFormat="1" applyFont="1" applyFill="1" applyBorder="1" applyAlignment="1" applyProtection="1">
      <alignment horizontal="right" vertical="center" shrinkToFit="1"/>
    </xf>
    <xf numFmtId="0" fontId="9" fillId="3" borderId="4" xfId="1" applyFont="1" applyFill="1" applyBorder="1" applyAlignment="1" applyProtection="1">
      <alignment horizontal="center" vertical="center" shrinkToFit="1"/>
    </xf>
    <xf numFmtId="0" fontId="9" fillId="3" borderId="26" xfId="1" applyFont="1" applyFill="1" applyBorder="1" applyAlignment="1" applyProtection="1">
      <alignment horizontal="center" vertical="center" shrinkToFit="1"/>
    </xf>
    <xf numFmtId="0" fontId="18" fillId="2" borderId="20" xfId="0" applyFont="1" applyFill="1" applyBorder="1" applyAlignment="1" applyProtection="1">
      <alignment horizontal="left" vertical="center" wrapText="1"/>
    </xf>
    <xf numFmtId="0" fontId="18" fillId="2" borderId="19" xfId="0" applyFont="1" applyFill="1" applyBorder="1" applyAlignment="1" applyProtection="1">
      <alignment horizontal="left" vertical="center" wrapText="1"/>
    </xf>
    <xf numFmtId="0" fontId="18" fillId="2" borderId="9" xfId="0" applyFont="1" applyFill="1" applyBorder="1" applyAlignment="1" applyProtection="1">
      <alignment horizontal="left" vertical="center" wrapText="1"/>
    </xf>
    <xf numFmtId="0" fontId="9" fillId="2" borderId="231" xfId="1" applyFont="1" applyFill="1" applyBorder="1" applyAlignment="1" applyProtection="1">
      <alignment horizontal="center" vertical="center" shrinkToFit="1"/>
    </xf>
    <xf numFmtId="0" fontId="9" fillId="2" borderId="30" xfId="1" applyFont="1" applyFill="1" applyBorder="1" applyAlignment="1" applyProtection="1">
      <alignment horizontal="center" vertical="center" shrinkToFit="1"/>
    </xf>
    <xf numFmtId="0" fontId="18" fillId="2" borderId="148" xfId="0" applyFont="1" applyFill="1" applyBorder="1" applyAlignment="1" applyProtection="1">
      <alignment horizontal="left" vertical="center"/>
    </xf>
    <xf numFmtId="0" fontId="18" fillId="2" borderId="157" xfId="0" applyFont="1" applyFill="1" applyBorder="1" applyAlignment="1" applyProtection="1">
      <alignment horizontal="left" vertical="center"/>
    </xf>
    <xf numFmtId="0" fontId="18" fillId="2" borderId="19" xfId="0" applyFont="1" applyFill="1" applyBorder="1" applyAlignment="1" applyProtection="1">
      <alignment horizontal="left" vertical="center"/>
    </xf>
    <xf numFmtId="0" fontId="18" fillId="2" borderId="3" xfId="0" applyFont="1" applyFill="1" applyBorder="1" applyAlignment="1" applyProtection="1">
      <alignment horizontal="left" vertical="center" shrinkToFit="1"/>
    </xf>
    <xf numFmtId="0" fontId="18" fillId="2" borderId="16" xfId="0" applyFont="1" applyFill="1" applyBorder="1" applyAlignment="1" applyProtection="1">
      <alignment horizontal="left" vertical="center" shrinkToFit="1"/>
    </xf>
    <xf numFmtId="0" fontId="18" fillId="2" borderId="157" xfId="0" applyFont="1" applyFill="1" applyBorder="1" applyAlignment="1" applyProtection="1">
      <alignment horizontal="left" vertical="center" wrapText="1"/>
    </xf>
    <xf numFmtId="0" fontId="18" fillId="2" borderId="371" xfId="0" applyFont="1" applyFill="1" applyBorder="1" applyAlignment="1" applyProtection="1">
      <alignment horizontal="left" vertical="center" wrapText="1"/>
    </xf>
    <xf numFmtId="195" fontId="18" fillId="2" borderId="239" xfId="0" applyNumberFormat="1" applyFont="1" applyFill="1" applyBorder="1" applyAlignment="1" applyProtection="1">
      <alignment horizontal="right" vertical="center" shrinkToFit="1"/>
    </xf>
    <xf numFmtId="195" fontId="18" fillId="2" borderId="240" xfId="0" applyNumberFormat="1" applyFont="1" applyFill="1" applyBorder="1" applyAlignment="1" applyProtection="1">
      <alignment horizontal="right" vertical="center" shrinkToFit="1"/>
    </xf>
    <xf numFmtId="207" fontId="9" fillId="2" borderId="239" xfId="1" applyNumberFormat="1" applyFont="1" applyFill="1" applyBorder="1" applyAlignment="1" applyProtection="1">
      <alignment horizontal="center" vertical="center" wrapText="1" shrinkToFit="1"/>
    </xf>
    <xf numFmtId="207" fontId="9" fillId="2" borderId="141" xfId="1" applyNumberFormat="1" applyFont="1" applyFill="1" applyBorder="1" applyAlignment="1" applyProtection="1">
      <alignment horizontal="center" vertical="center" shrinkToFit="1"/>
    </xf>
    <xf numFmtId="207" fontId="9" fillId="2" borderId="394" xfId="1" applyNumberFormat="1" applyFont="1" applyFill="1" applyBorder="1" applyAlignment="1" applyProtection="1">
      <alignment horizontal="center" vertical="center" shrinkToFit="1"/>
    </xf>
    <xf numFmtId="0" fontId="18" fillId="2" borderId="277" xfId="0" applyFont="1" applyFill="1" applyBorder="1" applyAlignment="1" applyProtection="1">
      <alignment horizontal="left" vertical="center" wrapText="1"/>
    </xf>
    <xf numFmtId="0" fontId="18" fillId="2" borderId="375" xfId="0" applyFont="1" applyFill="1" applyBorder="1" applyAlignment="1" applyProtection="1">
      <alignment horizontal="left" vertical="center" wrapText="1"/>
    </xf>
    <xf numFmtId="2" fontId="18" fillId="2" borderId="197" xfId="0" applyNumberFormat="1" applyFont="1" applyFill="1" applyBorder="1" applyAlignment="1" applyProtection="1">
      <alignment horizontal="center" vertical="center"/>
    </xf>
    <xf numFmtId="2" fontId="18" fillId="2" borderId="284" xfId="0" applyNumberFormat="1" applyFont="1" applyFill="1" applyBorder="1" applyAlignment="1" applyProtection="1">
      <alignment horizontal="center" vertical="center"/>
    </xf>
    <xf numFmtId="0" fontId="9" fillId="2" borderId="217" xfId="1" applyFont="1" applyFill="1" applyBorder="1" applyAlignment="1" applyProtection="1">
      <alignment horizontal="center" vertical="center" shrinkToFit="1"/>
    </xf>
    <xf numFmtId="0" fontId="9" fillId="2" borderId="130" xfId="1" applyFont="1" applyFill="1" applyBorder="1" applyAlignment="1" applyProtection="1">
      <alignment horizontal="center" vertical="center" shrinkToFit="1"/>
    </xf>
    <xf numFmtId="0" fontId="9" fillId="2" borderId="272" xfId="1" applyFont="1" applyFill="1" applyBorder="1" applyAlignment="1" applyProtection="1">
      <alignment horizontal="center" vertical="center" shrinkToFit="1"/>
    </xf>
    <xf numFmtId="0" fontId="9" fillId="2" borderId="133" xfId="1" applyFont="1" applyFill="1" applyBorder="1" applyAlignment="1" applyProtection="1">
      <alignment horizontal="center" vertical="center" shrinkToFit="1"/>
    </xf>
    <xf numFmtId="0" fontId="9" fillId="2" borderId="363" xfId="1" applyFont="1" applyFill="1" applyBorder="1" applyAlignment="1" applyProtection="1">
      <alignment horizontal="center" vertical="center" shrinkToFit="1"/>
    </xf>
    <xf numFmtId="0" fontId="9" fillId="2" borderId="393" xfId="1" applyFont="1" applyFill="1" applyBorder="1" applyAlignment="1" applyProtection="1">
      <alignment horizontal="center" vertical="center" shrinkToFit="1"/>
    </xf>
    <xf numFmtId="2" fontId="9" fillId="2" borderId="197" xfId="1" applyNumberFormat="1" applyFont="1" applyFill="1" applyBorder="1" applyAlignment="1" applyProtection="1">
      <alignment horizontal="center" vertical="center" shrinkToFit="1"/>
    </xf>
    <xf numFmtId="2" fontId="9" fillId="2" borderId="221" xfId="1" applyNumberFormat="1" applyFont="1" applyFill="1" applyBorder="1" applyAlignment="1" applyProtection="1">
      <alignment horizontal="center" vertical="center" shrinkToFit="1"/>
    </xf>
    <xf numFmtId="207" fontId="9" fillId="2" borderId="221" xfId="1" applyNumberFormat="1" applyFont="1" applyFill="1" applyBorder="1" applyAlignment="1" applyProtection="1">
      <alignment horizontal="center" vertical="center" wrapText="1" shrinkToFit="1"/>
    </xf>
    <xf numFmtId="20" fontId="18" fillId="2" borderId="389" xfId="0" applyNumberFormat="1" applyFont="1" applyFill="1" applyBorder="1" applyAlignment="1" applyProtection="1">
      <alignment horizontal="left" vertical="center" wrapText="1"/>
    </xf>
    <xf numFmtId="20" fontId="18" fillId="2" borderId="382" xfId="0" applyNumberFormat="1" applyFont="1" applyFill="1" applyBorder="1" applyAlignment="1" applyProtection="1">
      <alignment horizontal="left" vertical="center" wrapText="1"/>
    </xf>
    <xf numFmtId="0" fontId="18" fillId="3" borderId="121" xfId="0" applyFont="1" applyFill="1" applyBorder="1" applyAlignment="1" applyProtection="1">
      <alignment horizontal="center" vertical="center" shrinkToFit="1"/>
    </xf>
    <xf numFmtId="0" fontId="18" fillId="3" borderId="191" xfId="0" applyFont="1" applyFill="1" applyBorder="1" applyAlignment="1" applyProtection="1">
      <alignment horizontal="center" vertical="center" shrinkToFit="1"/>
    </xf>
    <xf numFmtId="0" fontId="18" fillId="6" borderId="421" xfId="0" applyFont="1" applyFill="1" applyBorder="1" applyAlignment="1" applyProtection="1">
      <alignment horizontal="center" vertical="center" shrinkToFit="1"/>
      <protection locked="0"/>
    </xf>
    <xf numFmtId="0" fontId="18" fillId="6" borderId="223" xfId="0" applyFont="1" applyFill="1" applyBorder="1" applyAlignment="1" applyProtection="1">
      <alignment horizontal="center" vertical="center" shrinkToFit="1"/>
      <protection locked="0"/>
    </xf>
    <xf numFmtId="0" fontId="36" fillId="3" borderId="33" xfId="0" applyFont="1" applyFill="1" applyBorder="1" applyAlignment="1" applyProtection="1">
      <alignment horizontal="center" vertical="center" wrapText="1"/>
    </xf>
    <xf numFmtId="0" fontId="36" fillId="3" borderId="20" xfId="0" applyFont="1" applyFill="1" applyBorder="1" applyAlignment="1" applyProtection="1">
      <alignment horizontal="center" vertical="center" wrapText="1"/>
    </xf>
    <xf numFmtId="0" fontId="36" fillId="3" borderId="0" xfId="0" applyFont="1" applyFill="1" applyBorder="1" applyAlignment="1" applyProtection="1">
      <alignment horizontal="center" vertical="center" wrapText="1"/>
    </xf>
    <xf numFmtId="0" fontId="36" fillId="3" borderId="53" xfId="0" applyFont="1" applyFill="1" applyBorder="1" applyAlignment="1" applyProtection="1">
      <alignment horizontal="center" vertical="center" wrapText="1"/>
    </xf>
    <xf numFmtId="0" fontId="36" fillId="3" borderId="36" xfId="0" applyFont="1" applyFill="1" applyBorder="1" applyAlignment="1" applyProtection="1">
      <alignment horizontal="center" vertical="center" wrapText="1"/>
    </xf>
    <xf numFmtId="0" fontId="18" fillId="3" borderId="36" xfId="0" applyFont="1" applyFill="1" applyBorder="1" applyAlignment="1" applyProtection="1">
      <alignment horizontal="center" vertical="center" shrinkToFit="1"/>
    </xf>
    <xf numFmtId="0" fontId="18" fillId="3" borderId="93" xfId="0" applyFont="1" applyFill="1" applyBorder="1" applyAlignment="1" applyProtection="1">
      <alignment horizontal="center" vertical="center" shrinkToFit="1"/>
    </xf>
    <xf numFmtId="0" fontId="18" fillId="6" borderId="423" xfId="0" applyFont="1" applyFill="1" applyBorder="1" applyAlignment="1" applyProtection="1">
      <alignment horizontal="center" vertical="center" shrinkToFit="1"/>
      <protection locked="0"/>
    </xf>
    <xf numFmtId="0" fontId="18" fillId="6" borderId="206" xfId="0" applyFont="1" applyFill="1" applyBorder="1" applyAlignment="1" applyProtection="1">
      <alignment horizontal="center" vertical="center" shrinkToFit="1"/>
      <protection locked="0"/>
    </xf>
    <xf numFmtId="0" fontId="18" fillId="3" borderId="209" xfId="0" applyFont="1" applyFill="1" applyBorder="1" applyAlignment="1" applyProtection="1">
      <alignment horizontal="center" vertical="center" shrinkToFit="1"/>
    </xf>
    <xf numFmtId="2" fontId="36" fillId="2" borderId="25" xfId="0" applyNumberFormat="1" applyFont="1" applyFill="1" applyBorder="1" applyAlignment="1" applyProtection="1">
      <alignment horizontal="center" vertical="center" shrinkToFit="1"/>
    </xf>
    <xf numFmtId="2" fontId="36" fillId="2" borderId="66" xfId="0" applyNumberFormat="1" applyFont="1" applyFill="1" applyBorder="1" applyAlignment="1" applyProtection="1">
      <alignment horizontal="center" vertical="center" shrinkToFit="1"/>
    </xf>
    <xf numFmtId="2" fontId="36" fillId="2" borderId="16" xfId="0" applyNumberFormat="1" applyFont="1" applyFill="1" applyBorder="1" applyAlignment="1" applyProtection="1">
      <alignment horizontal="center" vertical="center" shrinkToFit="1"/>
    </xf>
    <xf numFmtId="2" fontId="36" fillId="2" borderId="13" xfId="0" applyNumberFormat="1" applyFont="1" applyFill="1" applyBorder="1" applyAlignment="1" applyProtection="1">
      <alignment horizontal="center" vertical="center" shrinkToFit="1"/>
    </xf>
    <xf numFmtId="2" fontId="36" fillId="2" borderId="277" xfId="0" applyNumberFormat="1" applyFont="1" applyFill="1" applyBorder="1" applyAlignment="1" applyProtection="1">
      <alignment horizontal="center" vertical="center" shrinkToFit="1"/>
    </xf>
    <xf numFmtId="2" fontId="36" fillId="2" borderId="280" xfId="0" applyNumberFormat="1" applyFont="1" applyFill="1" applyBorder="1" applyAlignment="1" applyProtection="1">
      <alignment horizontal="center" vertical="center" shrinkToFit="1"/>
    </xf>
    <xf numFmtId="2" fontId="36" fillId="2" borderId="18" xfId="0" applyNumberFormat="1" applyFont="1" applyFill="1" applyBorder="1" applyAlignment="1" applyProtection="1">
      <alignment horizontal="center" vertical="center" shrinkToFit="1"/>
    </xf>
    <xf numFmtId="2" fontId="36" fillId="2" borderId="15" xfId="0" applyNumberFormat="1" applyFont="1" applyFill="1" applyBorder="1" applyAlignment="1" applyProtection="1">
      <alignment horizontal="center" vertical="center" shrinkToFit="1"/>
    </xf>
    <xf numFmtId="0" fontId="18" fillId="2" borderId="380" xfId="0" applyFont="1" applyFill="1" applyBorder="1" applyAlignment="1" applyProtection="1">
      <alignment horizontal="center" vertical="center" shrinkToFit="1"/>
    </xf>
    <xf numFmtId="0" fontId="18" fillId="2" borderId="375" xfId="0" applyFont="1" applyFill="1" applyBorder="1" applyAlignment="1" applyProtection="1">
      <alignment horizontal="center" vertical="center" shrinkToFit="1"/>
    </xf>
    <xf numFmtId="0" fontId="18" fillId="6" borderId="425" xfId="0" applyFont="1" applyFill="1" applyBorder="1" applyAlignment="1" applyProtection="1">
      <alignment horizontal="center" vertical="center" shrinkToFit="1"/>
      <protection locked="0"/>
    </xf>
    <xf numFmtId="0" fontId="18" fillId="6" borderId="366" xfId="0" applyFont="1" applyFill="1" applyBorder="1" applyAlignment="1" applyProtection="1">
      <alignment horizontal="center" vertical="center" shrinkToFit="1"/>
      <protection locked="0"/>
    </xf>
    <xf numFmtId="0" fontId="18" fillId="3" borderId="217" xfId="0" applyFont="1" applyFill="1" applyBorder="1" applyAlignment="1" applyProtection="1">
      <alignment horizontal="center" vertical="center"/>
    </xf>
    <xf numFmtId="0" fontId="18" fillId="3" borderId="130" xfId="0" applyFont="1" applyFill="1" applyBorder="1" applyAlignment="1" applyProtection="1">
      <alignment horizontal="center" vertical="center"/>
    </xf>
    <xf numFmtId="0" fontId="18" fillId="2" borderId="0" xfId="0" applyFont="1" applyFill="1" applyBorder="1" applyAlignment="1" applyProtection="1">
      <alignment horizontal="center" vertical="center" shrinkToFit="1"/>
    </xf>
    <xf numFmtId="0" fontId="18" fillId="2" borderId="14" xfId="0" applyFont="1" applyFill="1" applyBorder="1" applyAlignment="1" applyProtection="1">
      <alignment horizontal="center" vertical="center" shrinkToFit="1"/>
    </xf>
    <xf numFmtId="0" fontId="18" fillId="2" borderId="134" xfId="0" applyFont="1" applyFill="1" applyBorder="1" applyAlignment="1" applyProtection="1">
      <alignment horizontal="center" vertical="center" shrinkToFit="1"/>
    </xf>
    <xf numFmtId="0" fontId="18" fillId="2" borderId="306" xfId="0" applyFont="1" applyFill="1" applyBorder="1" applyAlignment="1" applyProtection="1">
      <alignment horizontal="center" vertical="center" shrinkToFit="1"/>
    </xf>
    <xf numFmtId="0" fontId="18" fillId="4" borderId="374" xfId="0" applyFont="1" applyFill="1" applyBorder="1" applyAlignment="1" applyProtection="1">
      <alignment horizontal="center" vertical="center"/>
      <protection locked="0"/>
    </xf>
    <xf numFmtId="0" fontId="18" fillId="4" borderId="280" xfId="0" applyFont="1" applyFill="1" applyBorder="1" applyAlignment="1" applyProtection="1">
      <alignment horizontal="center" vertical="center"/>
      <protection locked="0"/>
    </xf>
    <xf numFmtId="0" fontId="18" fillId="3" borderId="196" xfId="0" applyFont="1" applyFill="1" applyBorder="1" applyAlignment="1" applyProtection="1">
      <alignment horizontal="center" vertical="center" wrapText="1"/>
    </xf>
    <xf numFmtId="0" fontId="18" fillId="3" borderId="234" xfId="0" applyFont="1" applyFill="1" applyBorder="1" applyAlignment="1" applyProtection="1">
      <alignment horizontal="center" vertical="center" wrapText="1"/>
    </xf>
    <xf numFmtId="0" fontId="18" fillId="3" borderId="276" xfId="0" applyFont="1" applyFill="1" applyBorder="1" applyAlignment="1" applyProtection="1">
      <alignment horizontal="center" vertical="center" wrapText="1"/>
    </xf>
    <xf numFmtId="0" fontId="18" fillId="3" borderId="27" xfId="0" applyFont="1" applyFill="1" applyBorder="1" applyAlignment="1" applyProtection="1">
      <alignment horizontal="center" vertical="center"/>
    </xf>
    <xf numFmtId="0" fontId="18" fillId="3" borderId="33" xfId="0" applyFont="1" applyFill="1" applyBorder="1" applyAlignment="1" applyProtection="1">
      <alignment horizontal="center" vertical="center"/>
    </xf>
    <xf numFmtId="0" fontId="18" fillId="6" borderId="462" xfId="0" applyFont="1" applyFill="1" applyBorder="1" applyAlignment="1" applyProtection="1">
      <alignment horizontal="center" vertical="center" shrinkToFit="1"/>
      <protection locked="0"/>
    </xf>
    <xf numFmtId="0" fontId="18" fillId="6" borderId="463" xfId="0" applyFont="1" applyFill="1" applyBorder="1" applyAlignment="1" applyProtection="1">
      <alignment horizontal="center" vertical="center" shrinkToFit="1"/>
      <protection locked="0"/>
    </xf>
    <xf numFmtId="0" fontId="18" fillId="2" borderId="110" xfId="0" applyFont="1" applyFill="1" applyBorder="1" applyAlignment="1" applyProtection="1">
      <alignment horizontal="center" vertical="center" shrinkToFit="1"/>
    </xf>
    <xf numFmtId="0" fontId="18" fillId="2" borderId="250" xfId="0" applyFont="1" applyFill="1" applyBorder="1" applyAlignment="1" applyProtection="1">
      <alignment horizontal="center" vertical="center" shrinkToFit="1"/>
    </xf>
    <xf numFmtId="0" fontId="18" fillId="2" borderId="56" xfId="0" applyFont="1" applyFill="1" applyBorder="1" applyAlignment="1" applyProtection="1">
      <alignment horizontal="center" vertical="center" shrinkToFit="1"/>
    </xf>
    <xf numFmtId="0" fontId="18" fillId="2" borderId="305" xfId="0" applyFont="1" applyFill="1" applyBorder="1" applyAlignment="1" applyProtection="1">
      <alignment horizontal="center" vertical="center" shrinkToFit="1"/>
    </xf>
    <xf numFmtId="0" fontId="18" fillId="3" borderId="289" xfId="0" applyFont="1" applyFill="1" applyBorder="1" applyAlignment="1" applyProtection="1">
      <alignment horizontal="center" vertical="center" wrapText="1"/>
    </xf>
    <xf numFmtId="0" fontId="18" fillId="3" borderId="290" xfId="0" applyFont="1" applyFill="1" applyBorder="1" applyAlignment="1" applyProtection="1">
      <alignment horizontal="center" vertical="center" wrapText="1"/>
    </xf>
    <xf numFmtId="0" fontId="18" fillId="2" borderId="277" xfId="0" applyFont="1" applyFill="1" applyBorder="1" applyAlignment="1" applyProtection="1">
      <alignment horizontal="center" vertical="center" shrinkToFit="1"/>
    </xf>
    <xf numFmtId="0" fontId="18" fillId="2" borderId="379" xfId="0" applyFont="1" applyFill="1" applyBorder="1" applyAlignment="1" applyProtection="1">
      <alignment horizontal="center" vertical="center" shrinkToFit="1"/>
    </xf>
    <xf numFmtId="0" fontId="18" fillId="4" borderId="424" xfId="0" applyFont="1" applyFill="1" applyBorder="1" applyAlignment="1" applyProtection="1">
      <alignment horizontal="center" vertical="center"/>
      <protection locked="0"/>
    </xf>
    <xf numFmtId="0" fontId="18" fillId="4" borderId="367" xfId="0" applyFont="1" applyFill="1" applyBorder="1" applyAlignment="1" applyProtection="1">
      <alignment horizontal="center" vertical="center"/>
      <protection locked="0"/>
    </xf>
    <xf numFmtId="0" fontId="18" fillId="0" borderId="9" xfId="0" applyFont="1" applyFill="1" applyBorder="1" applyAlignment="1" applyProtection="1">
      <alignment horizontal="center" vertical="center" shrinkToFit="1"/>
    </xf>
    <xf numFmtId="0" fontId="36" fillId="0" borderId="108" xfId="0" applyFont="1" applyFill="1" applyBorder="1" applyAlignment="1" applyProtection="1">
      <alignment horizontal="center" vertical="center"/>
    </xf>
    <xf numFmtId="0" fontId="18" fillId="3" borderId="353" xfId="0" applyFont="1" applyFill="1" applyBorder="1" applyAlignment="1" applyProtection="1">
      <alignment horizontal="center" vertical="center"/>
    </xf>
    <xf numFmtId="0" fontId="18" fillId="3" borderId="354" xfId="0" applyFont="1" applyFill="1" applyBorder="1" applyAlignment="1" applyProtection="1">
      <alignment horizontal="center" vertical="center"/>
    </xf>
    <xf numFmtId="0" fontId="36" fillId="3" borderId="32" xfId="0" applyFont="1" applyFill="1" applyBorder="1" applyAlignment="1" applyProtection="1">
      <alignment horizontal="center" vertical="center" wrapText="1"/>
    </xf>
    <xf numFmtId="0" fontId="36" fillId="3" borderId="37" xfId="0" applyFont="1" applyFill="1" applyBorder="1" applyAlignment="1" applyProtection="1">
      <alignment horizontal="center" vertical="center" wrapText="1"/>
    </xf>
    <xf numFmtId="0" fontId="19" fillId="0" borderId="72" xfId="0" applyFont="1" applyFill="1" applyBorder="1" applyAlignment="1" applyProtection="1">
      <alignment horizontal="center" vertical="center" shrinkToFit="1"/>
    </xf>
    <xf numFmtId="0" fontId="18" fillId="6" borderId="133" xfId="0" applyFont="1" applyFill="1" applyBorder="1" applyAlignment="1" applyProtection="1">
      <alignment horizontal="center" vertical="center" shrinkToFit="1"/>
      <protection locked="0"/>
    </xf>
    <xf numFmtId="0" fontId="18" fillId="6" borderId="380" xfId="0" applyFont="1" applyFill="1" applyBorder="1" applyAlignment="1" applyProtection="1">
      <alignment horizontal="center" vertical="center" shrinkToFit="1"/>
      <protection locked="0"/>
    </xf>
    <xf numFmtId="0" fontId="18" fillId="6" borderId="375" xfId="0" applyFont="1" applyFill="1" applyBorder="1" applyAlignment="1" applyProtection="1">
      <alignment horizontal="center" vertical="center" shrinkToFit="1"/>
      <protection locked="0"/>
    </xf>
    <xf numFmtId="0" fontId="18" fillId="6" borderId="460" xfId="0" applyFont="1" applyFill="1" applyBorder="1" applyAlignment="1" applyProtection="1">
      <alignment horizontal="center" vertical="center" shrinkToFit="1"/>
      <protection locked="0"/>
    </xf>
    <xf numFmtId="0" fontId="18" fillId="6" borderId="377" xfId="0" applyFont="1" applyFill="1" applyBorder="1" applyAlignment="1" applyProtection="1">
      <alignment horizontal="center" vertical="center" shrinkToFit="1"/>
      <protection locked="0"/>
    </xf>
    <xf numFmtId="0" fontId="36" fillId="0" borderId="55" xfId="0" applyFont="1" applyFill="1" applyBorder="1" applyAlignment="1" applyProtection="1">
      <alignment horizontal="center" vertical="center" wrapText="1" shrinkToFit="1"/>
    </xf>
    <xf numFmtId="0" fontId="36" fillId="0" borderId="345" xfId="0" applyFont="1" applyFill="1" applyBorder="1" applyAlignment="1" applyProtection="1">
      <alignment horizontal="center" vertical="center" wrapText="1" shrinkToFit="1"/>
    </xf>
    <xf numFmtId="0" fontId="18" fillId="2" borderId="361" xfId="0" applyFont="1" applyFill="1" applyBorder="1" applyAlignment="1" applyProtection="1">
      <alignment horizontal="left" vertical="center" shrinkToFit="1"/>
    </xf>
    <xf numFmtId="0" fontId="18" fillId="2" borderId="360" xfId="0" applyFont="1" applyFill="1" applyBorder="1" applyAlignment="1" applyProtection="1">
      <alignment horizontal="left" vertical="center" shrinkToFit="1"/>
    </xf>
    <xf numFmtId="0" fontId="18" fillId="2" borderId="247" xfId="0" applyFont="1" applyFill="1" applyBorder="1" applyAlignment="1" applyProtection="1">
      <alignment horizontal="left" vertical="center" shrinkToFit="1"/>
    </xf>
    <xf numFmtId="0" fontId="18" fillId="2" borderId="0" xfId="0" applyFont="1" applyFill="1" applyBorder="1" applyAlignment="1" applyProtection="1">
      <alignment horizontal="left" vertical="center" shrinkToFit="1"/>
    </xf>
    <xf numFmtId="0" fontId="18" fillId="2" borderId="398" xfId="0" applyFont="1" applyFill="1" applyBorder="1" applyAlignment="1" applyProtection="1">
      <alignment horizontal="left" vertical="center" shrinkToFit="1"/>
    </xf>
    <xf numFmtId="0" fontId="18" fillId="2" borderId="393" xfId="0" applyFont="1" applyFill="1" applyBorder="1" applyAlignment="1" applyProtection="1">
      <alignment horizontal="left" vertical="center" shrinkToFit="1"/>
    </xf>
    <xf numFmtId="0" fontId="18" fillId="2" borderId="380" xfId="0" applyFont="1" applyFill="1" applyBorder="1" applyAlignment="1" applyProtection="1">
      <alignment horizontal="left" vertical="center" shrinkToFit="1"/>
    </xf>
    <xf numFmtId="0" fontId="18" fillId="2" borderId="375" xfId="0" applyFont="1" applyFill="1" applyBorder="1" applyAlignment="1" applyProtection="1">
      <alignment horizontal="left" vertical="center" shrinkToFit="1"/>
    </xf>
    <xf numFmtId="0" fontId="18" fillId="2" borderId="379" xfId="0" applyFont="1" applyFill="1" applyBorder="1" applyAlignment="1" applyProtection="1">
      <alignment horizontal="left" vertical="center" shrinkToFit="1"/>
    </xf>
    <xf numFmtId="0" fontId="50" fillId="2" borderId="0" xfId="0" applyFont="1" applyFill="1" applyAlignment="1" applyProtection="1">
      <alignment horizontal="center" vertical="center"/>
    </xf>
    <xf numFmtId="0" fontId="18" fillId="2" borderId="233" xfId="0" applyFont="1" applyFill="1" applyBorder="1" applyAlignment="1" applyProtection="1">
      <alignment horizontal="center" vertical="center" shrinkToFit="1"/>
    </xf>
    <xf numFmtId="0" fontId="18" fillId="2" borderId="293" xfId="0" applyFont="1" applyFill="1" applyBorder="1" applyAlignment="1" applyProtection="1">
      <alignment horizontal="center" vertical="center" shrinkToFit="1"/>
    </xf>
    <xf numFmtId="0" fontId="18" fillId="0" borderId="45" xfId="0" applyFont="1" applyFill="1" applyBorder="1" applyAlignment="1" applyProtection="1">
      <alignment horizontal="center" vertical="center" wrapText="1" shrinkToFit="1"/>
    </xf>
    <xf numFmtId="0" fontId="18" fillId="0" borderId="48" xfId="0" applyFont="1" applyFill="1" applyBorder="1" applyAlignment="1" applyProtection="1">
      <alignment horizontal="center" vertical="center" wrapText="1" shrinkToFit="1"/>
    </xf>
    <xf numFmtId="0" fontId="18" fillId="0" borderId="68" xfId="0" applyFont="1" applyFill="1" applyBorder="1" applyAlignment="1" applyProtection="1">
      <alignment horizontal="center" vertical="center" wrapText="1" shrinkToFit="1"/>
    </xf>
    <xf numFmtId="0" fontId="36" fillId="0" borderId="55" xfId="0" applyFont="1" applyFill="1" applyBorder="1" applyAlignment="1" applyProtection="1">
      <alignment horizontal="center" vertical="center" wrapText="1"/>
    </xf>
    <xf numFmtId="0" fontId="36" fillId="0" borderId="345" xfId="0" applyFont="1" applyFill="1" applyBorder="1" applyAlignment="1" applyProtection="1">
      <alignment horizontal="center" vertical="center" wrapText="1"/>
    </xf>
    <xf numFmtId="0" fontId="36" fillId="0" borderId="253" xfId="0" applyFont="1" applyFill="1" applyBorder="1" applyAlignment="1" applyProtection="1">
      <alignment horizontal="center" vertical="center" wrapText="1"/>
    </xf>
    <xf numFmtId="0" fontId="9" fillId="0" borderId="16" xfId="0" applyFont="1" applyFill="1" applyBorder="1" applyAlignment="1" applyProtection="1">
      <alignment horizontal="center" vertical="center" shrinkToFit="1"/>
    </xf>
    <xf numFmtId="0" fontId="9" fillId="0" borderId="395" xfId="0" applyFont="1" applyFill="1" applyBorder="1" applyAlignment="1" applyProtection="1">
      <alignment horizontal="center" vertical="center" shrinkToFit="1"/>
    </xf>
    <xf numFmtId="0" fontId="36" fillId="0" borderId="266" xfId="0" applyFont="1" applyFill="1" applyBorder="1" applyAlignment="1" applyProtection="1">
      <alignment horizontal="center" vertical="center" wrapText="1"/>
    </xf>
    <xf numFmtId="0" fontId="36" fillId="0" borderId="267" xfId="0" applyFont="1" applyFill="1" applyBorder="1" applyAlignment="1" applyProtection="1">
      <alignment horizontal="center" vertical="center" wrapText="1"/>
    </xf>
    <xf numFmtId="0" fontId="25" fillId="0" borderId="3" xfId="0" applyFont="1" applyFill="1" applyBorder="1" applyAlignment="1" applyProtection="1">
      <alignment horizontal="center" vertical="center" shrinkToFit="1"/>
    </xf>
    <xf numFmtId="0" fontId="25" fillId="0" borderId="5" xfId="0" applyFont="1" applyFill="1" applyBorder="1" applyAlignment="1" applyProtection="1">
      <alignment horizontal="center" vertical="center" shrinkToFit="1"/>
    </xf>
    <xf numFmtId="0" fontId="25" fillId="0" borderId="15" xfId="0" applyFont="1" applyFill="1" applyBorder="1" applyAlignment="1" applyProtection="1">
      <alignment horizontal="center" vertical="center"/>
    </xf>
    <xf numFmtId="0" fontId="25" fillId="0" borderId="45" xfId="0" applyFont="1" applyFill="1" applyBorder="1" applyAlignment="1" applyProtection="1">
      <alignment horizontal="center" vertical="center"/>
    </xf>
    <xf numFmtId="0" fontId="64" fillId="0" borderId="65" xfId="0" applyFont="1" applyFill="1" applyBorder="1" applyAlignment="1" applyProtection="1">
      <alignment horizontal="center" vertical="center" wrapText="1" shrinkToFit="1"/>
    </xf>
    <xf numFmtId="0" fontId="64" fillId="0" borderId="44" xfId="0" applyFont="1" applyFill="1" applyBorder="1" applyAlignment="1" applyProtection="1">
      <alignment horizontal="center" vertical="center" wrapText="1" shrinkToFit="1"/>
    </xf>
    <xf numFmtId="0" fontId="25" fillId="0" borderId="4" xfId="0" applyFont="1" applyFill="1" applyBorder="1" applyAlignment="1" applyProtection="1">
      <alignment horizontal="center" vertical="center" shrinkToFit="1"/>
    </xf>
    <xf numFmtId="0" fontId="25" fillId="0" borderId="26" xfId="0" applyFont="1" applyFill="1" applyBorder="1" applyAlignment="1" applyProtection="1">
      <alignment horizontal="center" vertical="center" shrinkToFit="1"/>
    </xf>
    <xf numFmtId="0" fontId="9" fillId="0" borderId="27" xfId="0" applyFont="1" applyFill="1" applyBorder="1" applyAlignment="1" applyProtection="1">
      <alignment horizontal="center" vertical="center" wrapText="1"/>
    </xf>
    <xf numFmtId="0" fontId="9" fillId="0" borderId="33"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9" fillId="0" borderId="53" xfId="0" applyFont="1" applyFill="1" applyBorder="1" applyAlignment="1" applyProtection="1">
      <alignment horizontal="center" vertical="center" wrapText="1"/>
    </xf>
    <xf numFmtId="0" fontId="9" fillId="0" borderId="36" xfId="0" applyFont="1" applyFill="1" applyBorder="1" applyAlignment="1" applyProtection="1">
      <alignment horizontal="center" vertical="center" wrapText="1"/>
    </xf>
    <xf numFmtId="0" fontId="25" fillId="0" borderId="55" xfId="0" applyFont="1" applyFill="1" applyBorder="1" applyAlignment="1" applyProtection="1">
      <alignment horizontal="center" vertical="center" wrapText="1" shrinkToFit="1"/>
    </xf>
    <xf numFmtId="0" fontId="25" fillId="0" borderId="345" xfId="0" applyFont="1" applyFill="1" applyBorder="1" applyAlignment="1" applyProtection="1">
      <alignment horizontal="center" vertical="center" wrapText="1" shrinkToFit="1"/>
    </xf>
    <xf numFmtId="0" fontId="25" fillId="0" borderId="253" xfId="0" applyFont="1" applyFill="1" applyBorder="1" applyAlignment="1" applyProtection="1">
      <alignment horizontal="center" vertical="center" wrapText="1" shrinkToFit="1"/>
    </xf>
    <xf numFmtId="0" fontId="43" fillId="0" borderId="44" xfId="0" applyFont="1" applyFill="1" applyBorder="1" applyAlignment="1" applyProtection="1">
      <alignment horizontal="center" vertical="center" wrapText="1"/>
    </xf>
    <xf numFmtId="0" fontId="43" fillId="0" borderId="51" xfId="0" applyFont="1" applyFill="1" applyBorder="1" applyAlignment="1" applyProtection="1">
      <alignment horizontal="center" vertical="center" wrapText="1"/>
    </xf>
    <xf numFmtId="0" fontId="43" fillId="0" borderId="5" xfId="0" applyFont="1" applyFill="1" applyBorder="1" applyAlignment="1" applyProtection="1">
      <alignment horizontal="center" vertical="center" wrapText="1"/>
    </xf>
    <xf numFmtId="0" fontId="43" fillId="0" borderId="71" xfId="0" applyFont="1" applyFill="1" applyBorder="1" applyAlignment="1" applyProtection="1">
      <alignment horizontal="center" vertical="center" wrapText="1"/>
    </xf>
    <xf numFmtId="0" fontId="25" fillId="0" borderId="3" xfId="0" applyFont="1" applyFill="1" applyBorder="1" applyAlignment="1" applyProtection="1">
      <alignment horizontal="center" vertical="center" wrapText="1" shrinkToFit="1"/>
    </xf>
    <xf numFmtId="0" fontId="25" fillId="0" borderId="5" xfId="0" applyFont="1" applyFill="1" applyBorder="1" applyAlignment="1" applyProtection="1">
      <alignment horizontal="center" vertical="center" wrapText="1" shrinkToFit="1"/>
    </xf>
    <xf numFmtId="0" fontId="36" fillId="0" borderId="38" xfId="0" applyFont="1" applyFill="1" applyBorder="1" applyAlignment="1" applyProtection="1">
      <alignment horizontal="center" vertical="center"/>
    </xf>
    <xf numFmtId="0" fontId="36" fillId="0" borderId="39" xfId="0" applyFont="1" applyFill="1" applyBorder="1" applyAlignment="1" applyProtection="1">
      <alignment horizontal="center" vertical="center"/>
    </xf>
    <xf numFmtId="0" fontId="36" fillId="0" borderId="40" xfId="0" applyFont="1" applyFill="1" applyBorder="1" applyAlignment="1" applyProtection="1">
      <alignment horizontal="center" vertical="center"/>
    </xf>
    <xf numFmtId="0" fontId="25" fillId="0" borderId="409" xfId="0" applyFont="1" applyFill="1" applyBorder="1" applyAlignment="1" applyProtection="1">
      <alignment horizontal="center" vertical="center" wrapText="1"/>
    </xf>
    <xf numFmtId="0" fontId="25" fillId="0" borderId="348" xfId="0" applyFont="1" applyFill="1" applyBorder="1" applyAlignment="1" applyProtection="1">
      <alignment horizontal="center" vertical="center" wrapText="1"/>
    </xf>
    <xf numFmtId="0" fontId="25" fillId="0" borderId="410" xfId="0" applyFont="1" applyFill="1" applyBorder="1" applyAlignment="1" applyProtection="1">
      <alignment horizontal="center" vertical="center" wrapText="1"/>
    </xf>
    <xf numFmtId="0" fontId="31" fillId="0" borderId="49" xfId="0" applyFont="1" applyFill="1" applyBorder="1" applyAlignment="1" applyProtection="1">
      <alignment horizontal="center" vertical="center" wrapText="1"/>
    </xf>
    <xf numFmtId="0" fontId="31" fillId="0" borderId="47" xfId="0" applyFont="1" applyFill="1" applyBorder="1" applyAlignment="1" applyProtection="1">
      <alignment horizontal="center" vertical="center" wrapText="1"/>
    </xf>
    <xf numFmtId="0" fontId="31" fillId="0" borderId="51" xfId="0" applyFont="1" applyFill="1" applyBorder="1" applyAlignment="1" applyProtection="1">
      <alignment horizontal="center" vertical="center" wrapText="1"/>
    </xf>
    <xf numFmtId="0" fontId="31" fillId="0" borderId="67" xfId="0" applyFont="1" applyFill="1" applyBorder="1" applyAlignment="1" applyProtection="1">
      <alignment horizontal="center" vertical="center" wrapText="1"/>
    </xf>
    <xf numFmtId="0" fontId="31" fillId="0" borderId="48" xfId="0" applyFont="1" applyFill="1" applyBorder="1" applyAlignment="1" applyProtection="1">
      <alignment horizontal="center" vertical="center" wrapText="1"/>
    </xf>
    <xf numFmtId="0" fontId="31" fillId="0" borderId="97" xfId="0" applyFont="1" applyFill="1" applyBorder="1" applyAlignment="1" applyProtection="1">
      <alignment horizontal="center" vertical="center" wrapText="1"/>
    </xf>
    <xf numFmtId="0" fontId="43" fillId="0" borderId="55" xfId="0" applyFont="1" applyFill="1" applyBorder="1" applyAlignment="1" applyProtection="1">
      <alignment horizontal="center" vertical="center" wrapText="1"/>
    </xf>
    <xf numFmtId="0" fontId="43" fillId="0" borderId="345" xfId="0" applyFont="1" applyFill="1" applyBorder="1" applyAlignment="1" applyProtection="1">
      <alignment horizontal="center" vertical="center" wrapText="1"/>
    </xf>
    <xf numFmtId="0" fontId="43" fillId="0" borderId="253" xfId="0" applyFont="1" applyFill="1" applyBorder="1" applyAlignment="1" applyProtection="1">
      <alignment horizontal="center" vertical="center" wrapText="1"/>
    </xf>
    <xf numFmtId="0" fontId="9" fillId="0" borderId="411" xfId="0" applyFont="1" applyFill="1" applyBorder="1" applyAlignment="1" applyProtection="1">
      <alignment horizontal="center" vertical="center" wrapText="1"/>
    </xf>
    <xf numFmtId="0" fontId="9" fillId="0" borderId="412" xfId="0" applyFont="1" applyFill="1" applyBorder="1" applyAlignment="1" applyProtection="1">
      <alignment horizontal="center" vertical="center" wrapText="1"/>
    </xf>
    <xf numFmtId="0" fontId="9" fillId="0" borderId="413" xfId="0" applyFont="1" applyFill="1" applyBorder="1" applyAlignment="1" applyProtection="1">
      <alignment horizontal="center" vertical="center" wrapText="1"/>
    </xf>
    <xf numFmtId="0" fontId="32" fillId="0" borderId="10" xfId="0" applyFont="1" applyFill="1" applyBorder="1" applyAlignment="1" applyProtection="1">
      <alignment horizontal="center" vertical="center" wrapText="1"/>
    </xf>
    <xf numFmtId="0" fontId="32" fillId="0" borderId="28" xfId="0" applyFont="1" applyFill="1" applyBorder="1" applyAlignment="1" applyProtection="1">
      <alignment horizontal="center" vertical="center" wrapText="1"/>
    </xf>
    <xf numFmtId="0" fontId="32" fillId="0" borderId="34" xfId="0" applyFont="1" applyFill="1" applyBorder="1" applyAlignment="1" applyProtection="1">
      <alignment horizontal="center" vertical="center" wrapText="1"/>
    </xf>
    <xf numFmtId="0" fontId="32" fillId="0" borderId="32" xfId="0" applyFont="1" applyFill="1" applyBorder="1" applyAlignment="1" applyProtection="1">
      <alignment horizontal="center" vertical="center" wrapText="1"/>
    </xf>
    <xf numFmtId="0" fontId="32" fillId="0" borderId="35" xfId="0" applyFont="1" applyFill="1" applyBorder="1" applyAlignment="1" applyProtection="1">
      <alignment horizontal="center" vertical="center" wrapText="1"/>
    </xf>
    <xf numFmtId="0" fontId="32" fillId="0" borderId="37" xfId="0" applyFont="1" applyFill="1" applyBorder="1" applyAlignment="1" applyProtection="1">
      <alignment horizontal="center" vertical="center" wrapText="1"/>
    </xf>
    <xf numFmtId="0" fontId="18" fillId="0" borderId="98" xfId="0" applyFont="1" applyFill="1" applyBorder="1" applyAlignment="1" applyProtection="1">
      <alignment horizontal="center" vertical="center" shrinkToFit="1"/>
    </xf>
    <xf numFmtId="0" fontId="18" fillId="0" borderId="50" xfId="0" applyFont="1" applyFill="1" applyBorder="1" applyAlignment="1" applyProtection="1">
      <alignment horizontal="center" vertical="center" shrinkToFit="1"/>
    </xf>
    <xf numFmtId="0" fontId="18" fillId="0" borderId="91" xfId="0" applyFont="1" applyFill="1" applyBorder="1" applyAlignment="1" applyProtection="1">
      <alignment horizontal="center" vertical="center" shrinkToFit="1"/>
    </xf>
    <xf numFmtId="0" fontId="18" fillId="0" borderId="3" xfId="0" applyFont="1" applyFill="1" applyBorder="1" applyAlignment="1" applyProtection="1">
      <alignment horizontal="center" vertical="center" shrinkToFit="1"/>
    </xf>
    <xf numFmtId="0" fontId="18" fillId="0" borderId="18" xfId="0" applyFont="1" applyFill="1" applyBorder="1" applyAlignment="1" applyProtection="1">
      <alignment horizontal="center" vertical="center" wrapText="1" shrinkToFit="1"/>
    </xf>
    <xf numFmtId="0" fontId="18" fillId="0" borderId="20" xfId="0" applyFont="1" applyFill="1" applyBorder="1" applyAlignment="1" applyProtection="1">
      <alignment horizontal="center" vertical="center" wrapText="1" shrinkToFit="1"/>
    </xf>
    <xf numFmtId="0" fontId="18" fillId="0" borderId="31" xfId="0" applyFont="1" applyFill="1" applyBorder="1" applyAlignment="1" applyProtection="1">
      <alignment horizontal="center" vertical="center" wrapText="1" shrinkToFit="1"/>
    </xf>
    <xf numFmtId="0" fontId="18" fillId="2" borderId="457" xfId="0" applyFont="1" applyFill="1" applyBorder="1" applyAlignment="1" applyProtection="1">
      <alignment horizontal="center" vertical="center" shrinkToFit="1"/>
    </xf>
    <xf numFmtId="0" fontId="18" fillId="2" borderId="313" xfId="0" applyFont="1" applyFill="1" applyBorder="1" applyAlignment="1" applyProtection="1">
      <alignment horizontal="center" vertical="center" shrinkToFit="1"/>
    </xf>
    <xf numFmtId="0" fontId="18" fillId="2" borderId="18" xfId="0" applyFont="1" applyFill="1" applyBorder="1" applyAlignment="1" applyProtection="1">
      <alignment horizontal="left" vertical="center" wrapText="1"/>
    </xf>
    <xf numFmtId="0" fontId="18" fillId="2" borderId="216" xfId="0" applyFont="1" applyFill="1" applyBorder="1" applyAlignment="1" applyProtection="1">
      <alignment horizontal="left" vertical="center" wrapText="1"/>
    </xf>
    <xf numFmtId="209" fontId="9" fillId="2" borderId="5" xfId="1" applyNumberFormat="1" applyFont="1" applyFill="1" applyBorder="1" applyAlignment="1" applyProtection="1">
      <alignment horizontal="right" vertical="center" shrinkToFit="1"/>
    </xf>
    <xf numFmtId="209" fontId="9" fillId="2" borderId="8" xfId="1" applyNumberFormat="1" applyFont="1" applyFill="1" applyBorder="1" applyAlignment="1" applyProtection="1">
      <alignment horizontal="right" vertical="center" shrinkToFit="1"/>
    </xf>
    <xf numFmtId="209" fontId="9" fillId="2" borderId="7" xfId="1" applyNumberFormat="1" applyFont="1" applyFill="1" applyBorder="1" applyAlignment="1" applyProtection="1">
      <alignment horizontal="right" vertical="center" shrinkToFit="1"/>
    </xf>
    <xf numFmtId="208" fontId="9" fillId="2" borderId="5" xfId="1" applyNumberFormat="1" applyFont="1" applyFill="1" applyBorder="1" applyAlignment="1" applyProtection="1">
      <alignment horizontal="right" vertical="center" shrinkToFit="1"/>
    </xf>
    <xf numFmtId="208" fontId="9" fillId="2" borderId="8" xfId="1" applyNumberFormat="1" applyFont="1" applyFill="1" applyBorder="1" applyAlignment="1" applyProtection="1">
      <alignment horizontal="right" vertical="center" shrinkToFit="1"/>
    </xf>
    <xf numFmtId="208" fontId="9" fillId="2" borderId="7" xfId="1" applyNumberFormat="1" applyFont="1" applyFill="1" applyBorder="1" applyAlignment="1" applyProtection="1">
      <alignment horizontal="right" vertical="center" shrinkToFit="1"/>
    </xf>
    <xf numFmtId="208" fontId="36" fillId="2" borderId="5" xfId="4" applyNumberFormat="1" applyFont="1" applyFill="1" applyBorder="1" applyAlignment="1" applyProtection="1">
      <alignment horizontal="right" vertical="center" shrinkToFit="1"/>
    </xf>
    <xf numFmtId="208" fontId="36" fillId="2" borderId="8" xfId="4" applyNumberFormat="1" applyFont="1" applyFill="1" applyBorder="1" applyAlignment="1" applyProtection="1">
      <alignment horizontal="right" vertical="center" shrinkToFit="1"/>
    </xf>
    <xf numFmtId="208" fontId="36" fillId="2" borderId="7" xfId="4" applyNumberFormat="1" applyFont="1" applyFill="1" applyBorder="1" applyAlignment="1" applyProtection="1">
      <alignment horizontal="right" vertical="center" shrinkToFit="1"/>
    </xf>
    <xf numFmtId="0" fontId="18" fillId="2" borderId="371" xfId="0" applyFont="1" applyFill="1" applyBorder="1" applyAlignment="1" applyProtection="1">
      <alignment horizontal="left" vertical="center"/>
    </xf>
    <xf numFmtId="0" fontId="18" fillId="2" borderId="372" xfId="0" applyFont="1" applyFill="1" applyBorder="1" applyAlignment="1" applyProtection="1">
      <alignment horizontal="left" vertical="center"/>
    </xf>
    <xf numFmtId="209" fontId="32" fillId="2" borderId="8" xfId="1" applyNumberFormat="1" applyFont="1" applyFill="1" applyBorder="1" applyAlignment="1" applyProtection="1">
      <alignment horizontal="center" vertical="center" wrapText="1" shrinkToFit="1"/>
    </xf>
    <xf numFmtId="214" fontId="9" fillId="2" borderId="8" xfId="1" applyNumberFormat="1" applyFont="1" applyFill="1" applyBorder="1" applyAlignment="1" applyProtection="1">
      <alignment horizontal="center" vertical="center" shrinkToFit="1"/>
    </xf>
    <xf numFmtId="214" fontId="9" fillId="2" borderId="7" xfId="1" applyNumberFormat="1" applyFont="1" applyFill="1" applyBorder="1" applyAlignment="1" applyProtection="1">
      <alignment horizontal="center" vertical="center" shrinkToFit="1"/>
    </xf>
    <xf numFmtId="208" fontId="25" fillId="2" borderId="5" xfId="1" applyNumberFormat="1" applyFont="1" applyFill="1" applyBorder="1" applyAlignment="1" applyProtection="1">
      <alignment horizontal="right" vertical="center" shrinkToFit="1"/>
    </xf>
    <xf numFmtId="195" fontId="18" fillId="2" borderId="390" xfId="4" applyNumberFormat="1" applyFont="1" applyFill="1" applyBorder="1" applyAlignment="1" applyProtection="1">
      <alignment horizontal="right" vertical="center" shrinkToFit="1"/>
    </xf>
    <xf numFmtId="195" fontId="18" fillId="2" borderId="228" xfId="4" applyNumberFormat="1" applyFont="1" applyFill="1" applyBorder="1" applyAlignment="1" applyProtection="1">
      <alignment horizontal="right" vertical="center" shrinkToFit="1"/>
    </xf>
    <xf numFmtId="195" fontId="18" fillId="2" borderId="283" xfId="4" applyNumberFormat="1" applyFont="1" applyFill="1" applyBorder="1" applyAlignment="1" applyProtection="1">
      <alignment horizontal="right" vertical="center" shrinkToFit="1"/>
    </xf>
    <xf numFmtId="209" fontId="18" fillId="2" borderId="5" xfId="4" applyNumberFormat="1" applyFont="1" applyFill="1" applyBorder="1" applyAlignment="1" applyProtection="1">
      <alignment horizontal="right" vertical="center" shrinkToFit="1"/>
    </xf>
    <xf numFmtId="209" fontId="18" fillId="2" borderId="7" xfId="4" applyNumberFormat="1" applyFont="1" applyFill="1" applyBorder="1" applyAlignment="1" applyProtection="1">
      <alignment horizontal="right" vertical="center" shrinkToFit="1"/>
    </xf>
    <xf numFmtId="0" fontId="18" fillId="2" borderId="506" xfId="0" applyFont="1" applyFill="1" applyBorder="1" applyAlignment="1">
      <alignment horizontal="center" vertical="center" shrinkToFit="1"/>
    </xf>
    <xf numFmtId="0" fontId="18" fillId="2" borderId="507" xfId="0" applyFont="1" applyFill="1" applyBorder="1" applyAlignment="1">
      <alignment horizontal="center" vertical="center" shrinkToFit="1"/>
    </xf>
    <xf numFmtId="0" fontId="41" fillId="2" borderId="20" xfId="0" applyFont="1" applyFill="1" applyBorder="1" applyAlignment="1" applyProtection="1">
      <alignment horizontal="center" vertical="center" wrapText="1"/>
    </xf>
    <xf numFmtId="0" fontId="41" fillId="2" borderId="143" xfId="0" applyFont="1" applyFill="1" applyBorder="1" applyAlignment="1" applyProtection="1">
      <alignment horizontal="center" vertical="center" wrapText="1"/>
    </xf>
    <xf numFmtId="0" fontId="41" fillId="2" borderId="282" xfId="0" applyFont="1" applyFill="1" applyBorder="1" applyAlignment="1" applyProtection="1">
      <alignment horizontal="center" vertical="center" wrapText="1"/>
    </xf>
    <xf numFmtId="0" fontId="41" fillId="2" borderId="394" xfId="0" applyFont="1" applyFill="1" applyBorder="1" applyAlignment="1" applyProtection="1">
      <alignment horizontal="center" vertical="center" wrapText="1"/>
    </xf>
    <xf numFmtId="0" fontId="18" fillId="2" borderId="358" xfId="0" applyFont="1" applyFill="1" applyBorder="1" applyAlignment="1" applyProtection="1">
      <alignment horizontal="center" vertical="center" shrinkToFit="1"/>
    </xf>
    <xf numFmtId="0" fontId="18" fillId="2" borderId="359" xfId="0" applyFont="1" applyFill="1" applyBorder="1" applyAlignment="1" applyProtection="1">
      <alignment horizontal="center" vertical="center" shrinkToFit="1"/>
    </xf>
    <xf numFmtId="0" fontId="18" fillId="2" borderId="239" xfId="0" applyFont="1" applyFill="1" applyBorder="1" applyAlignment="1" applyProtection="1">
      <alignment horizontal="center" vertical="center" shrinkToFit="1"/>
    </xf>
    <xf numFmtId="0" fontId="18" fillId="2" borderId="285" xfId="0" applyFont="1" applyFill="1" applyBorder="1" applyAlignment="1" applyProtection="1">
      <alignment horizontal="center" vertical="center" shrinkToFit="1"/>
    </xf>
    <xf numFmtId="0" fontId="18" fillId="2" borderId="234" xfId="0" applyFont="1" applyFill="1" applyBorder="1" applyAlignment="1" applyProtection="1">
      <alignment horizontal="center" vertical="center" shrinkToFit="1"/>
    </xf>
    <xf numFmtId="0" fontId="18" fillId="2" borderId="364" xfId="0" applyFont="1" applyFill="1" applyBorder="1" applyAlignment="1" applyProtection="1">
      <alignment horizontal="center" vertical="center" shrinkToFit="1"/>
    </xf>
    <xf numFmtId="0" fontId="36" fillId="2" borderId="339" xfId="0" applyFont="1" applyFill="1" applyBorder="1" applyAlignment="1" applyProtection="1">
      <alignment horizontal="center" vertical="center" shrinkToFit="1"/>
    </xf>
    <xf numFmtId="0" fontId="36" fillId="2" borderId="342" xfId="0" applyFont="1" applyFill="1" applyBorder="1" applyAlignment="1" applyProtection="1">
      <alignment horizontal="center" vertical="center" shrinkToFit="1"/>
    </xf>
    <xf numFmtId="0" fontId="18" fillId="2" borderId="383" xfId="0" applyFont="1" applyFill="1" applyBorder="1" applyAlignment="1" applyProtection="1">
      <alignment horizontal="center" vertical="center"/>
    </xf>
    <xf numFmtId="0" fontId="18" fillId="2" borderId="376" xfId="0" applyFont="1" applyFill="1" applyBorder="1" applyAlignment="1" applyProtection="1">
      <alignment horizontal="center" vertical="center" shrinkToFit="1"/>
    </xf>
    <xf numFmtId="0" fontId="18" fillId="2" borderId="128" xfId="0" applyFont="1" applyFill="1" applyBorder="1" applyAlignment="1" applyProtection="1">
      <alignment horizontal="center" vertical="center" shrinkToFit="1"/>
    </xf>
    <xf numFmtId="0" fontId="18" fillId="2" borderId="454" xfId="0" applyFont="1" applyFill="1" applyBorder="1" applyAlignment="1" applyProtection="1">
      <alignment horizontal="center" vertical="center" shrinkToFit="1"/>
    </xf>
    <xf numFmtId="0" fontId="18" fillId="3" borderId="49" xfId="0" applyFont="1" applyFill="1" applyBorder="1" applyAlignment="1" applyProtection="1">
      <alignment horizontal="center" vertical="center"/>
    </xf>
    <xf numFmtId="0" fontId="18" fillId="3" borderId="47" xfId="0" applyFont="1" applyFill="1" applyBorder="1" applyAlignment="1" applyProtection="1">
      <alignment horizontal="center" vertical="center"/>
    </xf>
    <xf numFmtId="0" fontId="18" fillId="3" borderId="51" xfId="0" applyFont="1" applyFill="1" applyBorder="1" applyAlignment="1" applyProtection="1">
      <alignment horizontal="center" vertical="center"/>
    </xf>
    <xf numFmtId="0" fontId="18" fillId="3" borderId="121" xfId="0" applyFont="1" applyFill="1" applyBorder="1" applyAlignment="1" applyProtection="1">
      <alignment horizontal="center" vertical="center"/>
    </xf>
    <xf numFmtId="0" fontId="18" fillId="2" borderId="16" xfId="0" applyFont="1" applyFill="1" applyBorder="1" applyAlignment="1" applyProtection="1">
      <alignment horizontal="center" vertical="center" shrinkToFit="1"/>
    </xf>
    <xf numFmtId="0" fontId="18" fillId="2" borderId="416" xfId="0" applyFont="1" applyFill="1" applyBorder="1" applyAlignment="1" applyProtection="1">
      <alignment horizontal="center" vertical="center" shrinkToFit="1"/>
    </xf>
    <xf numFmtId="0" fontId="18" fillId="2" borderId="282" xfId="0" applyFont="1" applyFill="1" applyBorder="1" applyAlignment="1" applyProtection="1">
      <alignment horizontal="center" vertical="center" shrinkToFit="1"/>
    </xf>
    <xf numFmtId="0" fontId="24" fillId="13" borderId="508" xfId="0" applyFont="1" applyFill="1" applyBorder="1" applyAlignment="1" applyProtection="1">
      <alignment horizontal="center" vertical="center" shrinkToFit="1"/>
    </xf>
    <xf numFmtId="0" fontId="24" fillId="13" borderId="75" xfId="0" applyFont="1" applyFill="1" applyBorder="1" applyAlignment="1" applyProtection="1">
      <alignment horizontal="center" vertical="center" shrinkToFit="1"/>
    </xf>
    <xf numFmtId="0" fontId="24" fillId="13" borderId="263" xfId="0" applyFont="1" applyFill="1" applyBorder="1" applyAlignment="1" applyProtection="1">
      <alignment horizontal="center" vertical="center" shrinkToFit="1"/>
    </xf>
    <xf numFmtId="0" fontId="39" fillId="2" borderId="0" xfId="0" applyFont="1" applyFill="1" applyAlignment="1" applyProtection="1">
      <alignment horizontal="left" vertical="center" shrinkToFit="1"/>
    </xf>
    <xf numFmtId="0" fontId="24" fillId="2" borderId="69" xfId="0" applyFont="1" applyFill="1" applyBorder="1" applyAlignment="1" applyProtection="1">
      <alignment horizontal="center" vertical="center" textRotation="255"/>
    </xf>
    <xf numFmtId="0" fontId="24" fillId="2" borderId="70" xfId="0" applyFont="1" applyFill="1" applyBorder="1" applyAlignment="1" applyProtection="1">
      <alignment horizontal="center" vertical="center" textRotation="255"/>
    </xf>
    <xf numFmtId="0" fontId="24" fillId="2" borderId="27" xfId="0" applyFont="1" applyFill="1" applyBorder="1" applyAlignment="1" applyProtection="1">
      <alignment horizontal="center" vertical="center" shrinkToFit="1"/>
    </xf>
    <xf numFmtId="0" fontId="24" fillId="2" borderId="11" xfId="0" applyFont="1" applyFill="1" applyBorder="1" applyAlignment="1" applyProtection="1">
      <alignment horizontal="center" vertical="center" shrinkToFit="1"/>
    </xf>
    <xf numFmtId="0" fontId="24" fillId="2" borderId="20" xfId="0" applyFont="1" applyFill="1" applyBorder="1" applyAlignment="1" applyProtection="1">
      <alignment horizontal="center" vertical="top" textRotation="255" shrinkToFit="1"/>
    </xf>
    <xf numFmtId="0" fontId="24" fillId="2" borderId="14" xfId="0" applyFont="1" applyFill="1" applyBorder="1" applyAlignment="1" applyProtection="1">
      <alignment horizontal="center" vertical="top" textRotation="255" shrinkToFit="1"/>
    </xf>
    <xf numFmtId="185" fontId="24" fillId="3" borderId="514" xfId="0" applyNumberFormat="1" applyFont="1" applyFill="1" applyBorder="1" applyAlignment="1" applyProtection="1">
      <alignment horizontal="center" vertical="center"/>
    </xf>
    <xf numFmtId="185" fontId="24" fillId="3" borderId="515" xfId="0" applyNumberFormat="1" applyFont="1" applyFill="1" applyBorder="1" applyAlignment="1" applyProtection="1">
      <alignment horizontal="center" vertical="center"/>
    </xf>
    <xf numFmtId="185" fontId="24" fillId="3" borderId="516" xfId="0" applyNumberFormat="1" applyFont="1" applyFill="1" applyBorder="1" applyAlignment="1" applyProtection="1">
      <alignment horizontal="center" vertical="center"/>
    </xf>
    <xf numFmtId="0" fontId="24" fillId="2" borderId="1" xfId="0" applyFont="1" applyFill="1" applyBorder="1" applyAlignment="1" applyProtection="1">
      <alignment horizontal="center" vertical="center" shrinkToFit="1"/>
    </xf>
    <xf numFmtId="0" fontId="24" fillId="2" borderId="8" xfId="0" applyFont="1" applyFill="1" applyBorder="1" applyAlignment="1" applyProtection="1">
      <alignment horizontal="center" vertical="center" shrinkToFit="1"/>
    </xf>
    <xf numFmtId="0" fontId="24" fillId="2" borderId="71" xfId="0" applyFont="1" applyFill="1" applyBorder="1" applyAlignment="1" applyProtection="1">
      <alignment horizontal="center" vertical="center" shrinkToFit="1"/>
    </xf>
    <xf numFmtId="0" fontId="24" fillId="2" borderId="0" xfId="0" applyFont="1" applyFill="1" applyAlignment="1" applyProtection="1">
      <alignment horizontal="right" vertical="center" shrinkToFit="1"/>
    </xf>
    <xf numFmtId="0" fontId="69" fillId="2" borderId="3" xfId="0" applyFont="1" applyFill="1" applyBorder="1" applyAlignment="1" applyProtection="1">
      <alignment horizontal="center" vertical="center" shrinkToFit="1"/>
    </xf>
    <xf numFmtId="0" fontId="24" fillId="2" borderId="16" xfId="0" applyFont="1" applyFill="1" applyBorder="1" applyAlignment="1" applyProtection="1">
      <alignment horizontal="center" vertical="center"/>
    </xf>
    <xf numFmtId="0" fontId="24" fillId="2" borderId="17" xfId="0" applyFont="1" applyFill="1" applyBorder="1" applyAlignment="1" applyProtection="1">
      <alignment horizontal="center" vertical="center"/>
    </xf>
    <xf numFmtId="0" fontId="24" fillId="2" borderId="17" xfId="0" applyFont="1" applyFill="1" applyBorder="1" applyAlignment="1" applyProtection="1">
      <alignment horizontal="left" vertical="center"/>
    </xf>
    <xf numFmtId="0" fontId="24" fillId="2" borderId="13" xfId="0" applyFont="1" applyFill="1" applyBorder="1" applyAlignment="1" applyProtection="1">
      <alignment horizontal="left" vertical="center"/>
    </xf>
    <xf numFmtId="0" fontId="24" fillId="13" borderId="509" xfId="0" applyFont="1" applyFill="1" applyBorder="1" applyAlignment="1" applyProtection="1">
      <alignment horizontal="center" vertical="center" shrinkToFit="1"/>
    </xf>
    <xf numFmtId="0" fontId="24" fillId="13" borderId="510" xfId="0" applyFont="1" applyFill="1" applyBorder="1" applyAlignment="1" applyProtection="1">
      <alignment horizontal="center" vertical="center" shrinkToFit="1"/>
    </xf>
    <xf numFmtId="0" fontId="24" fillId="13" borderId="269" xfId="0" applyFont="1" applyFill="1" applyBorder="1" applyAlignment="1" applyProtection="1">
      <alignment horizontal="center" vertical="center" shrinkToFit="1"/>
    </xf>
    <xf numFmtId="0" fontId="9" fillId="0" borderId="57" xfId="0" applyFont="1" applyBorder="1" applyAlignment="1">
      <alignment horizontal="center" vertical="center" shrinkToFit="1"/>
    </xf>
    <xf numFmtId="0" fontId="9" fillId="0" borderId="105" xfId="0" applyFont="1" applyBorder="1" applyAlignment="1">
      <alignment horizontal="left" vertical="center" shrinkToFit="1"/>
    </xf>
    <xf numFmtId="0" fontId="9" fillId="0" borderId="106" xfId="0" applyFont="1" applyBorder="1" applyAlignment="1">
      <alignment horizontal="left" vertical="center" shrinkToFit="1"/>
    </xf>
    <xf numFmtId="0" fontId="9" fillId="0" borderId="107" xfId="0" applyFont="1" applyBorder="1" applyAlignment="1">
      <alignment horizontal="left" vertical="center" shrinkToFit="1"/>
    </xf>
    <xf numFmtId="0" fontId="9" fillId="4" borderId="19" xfId="0" applyFont="1" applyFill="1" applyBorder="1" applyAlignment="1" applyProtection="1">
      <alignment horizontal="center" vertical="center"/>
      <protection locked="0"/>
    </xf>
    <xf numFmtId="0" fontId="9" fillId="4" borderId="9" xfId="0" applyFont="1" applyFill="1" applyBorder="1" applyAlignment="1" applyProtection="1">
      <alignment horizontal="center" vertical="center"/>
      <protection locked="0"/>
    </xf>
  </cellXfs>
  <cellStyles count="15">
    <cellStyle name="パーセント" xfId="5" builtinId="5"/>
    <cellStyle name="ハイパーリンク" xfId="11" builtinId="8"/>
    <cellStyle name="桁区切り" xfId="4" builtinId="6"/>
    <cellStyle name="桁区切り 2" xfId="2" xr:uid="{00000000-0005-0000-0000-000003000000}"/>
    <cellStyle name="標準" xfId="0" builtinId="0"/>
    <cellStyle name="標準 15" xfId="8" xr:uid="{00000000-0005-0000-0000-000005000000}"/>
    <cellStyle name="標準 2" xfId="1" xr:uid="{00000000-0005-0000-0000-000006000000}"/>
    <cellStyle name="標準 2 2" xfId="9" xr:uid="{00000000-0005-0000-0000-000007000000}"/>
    <cellStyle name="標準 2 4" xfId="6" xr:uid="{00000000-0005-0000-0000-000008000000}"/>
    <cellStyle name="標準 20" xfId="12" xr:uid="{00000000-0005-0000-0000-000009000000}"/>
    <cellStyle name="標準 22" xfId="14" xr:uid="{00000000-0005-0000-0000-00000A000000}"/>
    <cellStyle name="標準 3" xfId="3" xr:uid="{00000000-0005-0000-0000-00000B000000}"/>
    <cellStyle name="標準 3 2" xfId="7" xr:uid="{00000000-0005-0000-0000-00000C000000}"/>
    <cellStyle name="標準 3 2 4" xfId="13" xr:uid="{00000000-0005-0000-0000-00000D000000}"/>
    <cellStyle name="標準 4" xfId="10" xr:uid="{00000000-0005-0000-0000-00000E000000}"/>
  </cellStyles>
  <dxfs count="101">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rgb="FFFF0000"/>
        </patternFill>
      </fill>
    </dxf>
    <dxf>
      <font>
        <color rgb="FF0070C0"/>
      </font>
      <fill>
        <patternFill patternType="none">
          <bgColor auto="1"/>
        </patternFill>
      </fill>
    </dxf>
    <dxf>
      <font>
        <strike/>
      </font>
      <fill>
        <patternFill>
          <bgColor theme="0"/>
        </patternFill>
      </fill>
    </dxf>
    <dxf>
      <fill>
        <patternFill patternType="gray0625">
          <fgColor theme="1"/>
          <bgColor theme="0"/>
        </patternFill>
      </fill>
    </dxf>
    <dxf>
      <font>
        <color rgb="FFFF0000"/>
      </font>
    </dxf>
    <dxf>
      <fill>
        <patternFill patternType="gray0625">
          <bgColor theme="0"/>
        </patternFill>
      </fill>
    </dxf>
    <dxf>
      <fill>
        <patternFill>
          <bgColor theme="6"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6" tint="0.79998168889431442"/>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theme="9" tint="0.79998168889431442"/>
        </patternFill>
      </fill>
    </dxf>
    <dxf>
      <fill>
        <patternFill>
          <bgColor rgb="FFFF0000"/>
        </patternFill>
      </fill>
    </dxf>
    <dxf>
      <fill>
        <patternFill>
          <bgColor theme="0"/>
        </patternFill>
      </fill>
    </dxf>
    <dxf>
      <fill>
        <patternFill>
          <bgColor rgb="FFFF0000"/>
        </patternFill>
      </fill>
    </dxf>
    <dxf>
      <fill>
        <patternFill>
          <bgColor rgb="FFFF0000"/>
        </patternFill>
      </fill>
    </dxf>
    <dxf>
      <font>
        <b val="0"/>
        <i/>
        <u/>
      </font>
      <fill>
        <patternFill>
          <bgColor rgb="FFFF99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gray125">
          <bgColor theme="0"/>
        </patternFill>
      </fill>
    </dxf>
    <dxf>
      <fill>
        <patternFill>
          <bgColor theme="0"/>
        </patternFill>
      </fill>
    </dxf>
    <dxf>
      <fill>
        <patternFill patternType="gray125">
          <bgColor theme="0"/>
        </patternFill>
      </fill>
    </dxf>
    <dxf>
      <fill>
        <patternFill patternType="gray125">
          <bgColor theme="0"/>
        </patternFill>
      </fill>
    </dxf>
    <dxf>
      <font>
        <color theme="4"/>
      </font>
    </dxf>
    <dxf>
      <font>
        <color rgb="FFFF0000"/>
      </font>
    </dxf>
    <dxf>
      <font>
        <color theme="4"/>
      </font>
    </dxf>
    <dxf>
      <font>
        <color rgb="FFFF0000"/>
      </font>
    </dxf>
    <dxf>
      <fill>
        <patternFill patternType="gray125">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strike val="0"/>
        <condense val="0"/>
        <extend val="0"/>
        <outline val="0"/>
        <shadow val="0"/>
        <u val="none"/>
        <vertAlign val="baseline"/>
        <sz val="9"/>
        <color theme="1"/>
        <name val="ＭＳ ゴシック"/>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protection locked="1" hidden="0"/>
    </dxf>
    <dxf>
      <font>
        <b val="0"/>
        <i val="0"/>
        <strike val="0"/>
        <condense val="0"/>
        <extend val="0"/>
        <outline val="0"/>
        <shadow val="0"/>
        <u val="none"/>
        <vertAlign val="baseline"/>
        <sz val="9"/>
        <color theme="1"/>
        <name val="ＭＳ ゴシック"/>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ill>
        <patternFill patternType="none">
          <fgColor indexed="64"/>
          <bgColor indexed="65"/>
        </patternFill>
      </fill>
      <border outline="0">
        <right style="thin">
          <color indexed="64"/>
        </right>
      </border>
      <protection locked="1" hidden="0"/>
    </dxf>
    <dxf>
      <fill>
        <patternFill patternType="none">
          <fgColor indexed="64"/>
          <bgColor indexed="65"/>
        </patternFill>
      </fill>
      <border outline="0">
        <right style="thin">
          <color indexed="64"/>
        </right>
      </border>
      <protection locked="1" hidden="0"/>
    </dxf>
    <dxf>
      <font>
        <b val="0"/>
        <i val="0"/>
        <strike val="0"/>
        <condense val="0"/>
        <extend val="0"/>
        <outline val="0"/>
        <shadow val="0"/>
        <u val="none"/>
        <vertAlign val="baseline"/>
        <sz val="9"/>
        <color theme="1"/>
        <name val="ＭＳ ゴシック"/>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9"/>
        <color theme="1"/>
        <name val="ＭＳ ゴシック"/>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9"/>
        <color theme="1"/>
        <name val="ＭＳ ゴシック"/>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9"/>
        <color theme="1"/>
        <name val="ＭＳ ゴシック"/>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border>
      <protection locked="1" hidden="0"/>
    </dxf>
    <dxf>
      <fill>
        <patternFill patternType="none">
          <fgColor indexed="64"/>
          <bgColor indexed="65"/>
        </patternFill>
      </fill>
      <border outline="0">
        <right style="thin">
          <color indexed="64"/>
        </right>
      </border>
      <protection locked="1" hidden="0"/>
    </dxf>
    <dxf>
      <fill>
        <patternFill patternType="none">
          <fgColor indexed="64"/>
          <bgColor indexed="65"/>
        </patternFill>
      </fill>
      <border outline="0">
        <right style="thin">
          <color indexed="64"/>
        </right>
      </border>
      <protection locked="1" hidden="0"/>
    </dxf>
    <dxf>
      <fill>
        <patternFill patternType="none">
          <fgColor indexed="64"/>
          <bgColor indexed="65"/>
        </patternFill>
      </fill>
      <border outline="0">
        <right style="thin">
          <color indexed="64"/>
        </right>
      </border>
      <protection locked="1" hidden="0"/>
    </dxf>
    <dxf>
      <border outline="0">
        <right style="thin">
          <color indexed="64"/>
        </right>
      </border>
      <protection locked="1" hidden="0"/>
    </dxf>
    <dxf>
      <protection locked="1" hidden="0"/>
    </dxf>
    <dxf>
      <protection locked="1" hidden="0"/>
    </dxf>
    <dxf>
      <protection locked="1" hidden="0"/>
    </dxf>
    <dxf>
      <protection locked="1" hidden="0"/>
    </dxf>
    <dxf>
      <protection locked="1" hidden="0"/>
    </dxf>
    <dxf>
      <protection locked="1" hidden="0"/>
    </dxf>
    <dxf>
      <border outline="0">
        <left style="thin">
          <color rgb="FF000000"/>
        </left>
        <right style="thin">
          <color rgb="FF000000"/>
        </right>
        <top style="thin">
          <color rgb="FF000000"/>
        </top>
        <bottom style="thin">
          <color rgb="FF000000"/>
        </bottom>
      </border>
    </dxf>
    <dxf>
      <protection locked="1" hidden="0"/>
    </dxf>
    <dxf>
      <font>
        <b/>
        <i val="0"/>
        <strike val="0"/>
        <condense val="0"/>
        <extend val="0"/>
        <outline val="0"/>
        <shadow val="0"/>
        <u val="none"/>
        <vertAlign val="baseline"/>
        <sz val="9"/>
        <color theme="1"/>
        <name val="ＭＳ ゴシック"/>
        <scheme val="none"/>
      </font>
      <numFmt numFmtId="0" formatCode="General"/>
      <alignment horizontal="center" vertical="center" textRotation="0" wrapText="0" indent="0" justifyLastLine="0" shrinkToFit="0" readingOrder="0"/>
      <protection locked="1" hidden="0"/>
    </dxf>
  </dxfs>
  <tableStyles count="0" defaultTableStyle="TableStyleMedium2" defaultPivotStyle="PivotStyleLight16"/>
  <colors>
    <mruColors>
      <color rgb="FFFFFFCC"/>
      <color rgb="FFFF99FF"/>
      <color rgb="FF99CCFF"/>
      <color rgb="FFCCECFF"/>
      <color rgb="FF99FFCC"/>
      <color rgb="FFFFCCFF"/>
      <color rgb="FFFF99CC"/>
      <color rgb="FFFF9900"/>
      <color rgb="FFFFCC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12</xdr:col>
      <xdr:colOff>126999</xdr:colOff>
      <xdr:row>10</xdr:row>
      <xdr:rowOff>19049</xdr:rowOff>
    </xdr:from>
    <xdr:to>
      <xdr:col>14</xdr:col>
      <xdr:colOff>422274</xdr:colOff>
      <xdr:row>20</xdr:row>
      <xdr:rowOff>76199</xdr:rowOff>
    </xdr:to>
    <xdr:sp macro="" textlink="">
      <xdr:nvSpPr>
        <xdr:cNvPr id="2" name="左矢印吹き出し 1">
          <a:extLst>
            <a:ext uri="{FF2B5EF4-FFF2-40B4-BE49-F238E27FC236}">
              <a16:creationId xmlns:a16="http://schemas.microsoft.com/office/drawing/2014/main" id="{00000000-0008-0000-0100-000002000000}"/>
            </a:ext>
          </a:extLst>
        </xdr:cNvPr>
        <xdr:cNvSpPr/>
      </xdr:nvSpPr>
      <xdr:spPr>
        <a:xfrm>
          <a:off x="9194799" y="2019299"/>
          <a:ext cx="1552575" cy="1676400"/>
        </a:xfrm>
        <a:prstGeom prst="leftArrowCallou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不足している場合、「西暦</a:t>
          </a:r>
          <a:r>
            <a:rPr kumimoji="1" lang="en-US" altLang="ja-JP" sz="1100">
              <a:solidFill>
                <a:sysClr val="windowText" lastClr="000000"/>
              </a:solidFill>
            </a:rPr>
            <a:t>/</a:t>
          </a:r>
          <a:r>
            <a:rPr kumimoji="1" lang="ja-JP" altLang="en-US" sz="1100">
              <a:solidFill>
                <a:sysClr val="windowText" lastClr="000000"/>
              </a:solidFill>
            </a:rPr>
            <a:t>月</a:t>
          </a:r>
          <a:r>
            <a:rPr kumimoji="1" lang="en-US" altLang="ja-JP" sz="1100">
              <a:solidFill>
                <a:sysClr val="windowText" lastClr="000000"/>
              </a:solidFill>
            </a:rPr>
            <a:t>/</a:t>
          </a:r>
          <a:r>
            <a:rPr kumimoji="1" lang="ja-JP" altLang="en-US" sz="1100">
              <a:solidFill>
                <a:sysClr val="windowText" lastClr="000000"/>
              </a:solidFill>
            </a:rPr>
            <a:t>日」の形式で追加してください。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37</xdr:col>
      <xdr:colOff>74081</xdr:colOff>
      <xdr:row>0</xdr:row>
      <xdr:rowOff>10583</xdr:rowOff>
    </xdr:from>
    <xdr:to>
      <xdr:col>37</xdr:col>
      <xdr:colOff>3817405</xdr:colOff>
      <xdr:row>5</xdr:row>
      <xdr:rowOff>116417</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16785164" y="10583"/>
          <a:ext cx="3743324" cy="1058334"/>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37</xdr:col>
      <xdr:colOff>116417</xdr:colOff>
      <xdr:row>7</xdr:row>
      <xdr:rowOff>10583</xdr:rowOff>
    </xdr:from>
    <xdr:to>
      <xdr:col>37</xdr:col>
      <xdr:colOff>3783542</xdr:colOff>
      <xdr:row>24</xdr:row>
      <xdr:rowOff>162983</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16827500" y="1344083"/>
          <a:ext cx="3667125" cy="33909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氏名</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様式</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からの自動引用です。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日にち・曜日</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様式</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の申請月の入力状況に応じて自動表示されます。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入力方法</a:t>
          </a:r>
          <a:r>
            <a:rPr kumimoji="1" lang="en-US" altLang="ja-JP" sz="1000" b="1">
              <a:latin typeface="ＭＳ ゴシック" panose="020B0609070205080204" pitchFamily="49" charset="-128"/>
              <a:ea typeface="ＭＳ ゴシック" panose="020B0609070205080204" pitchFamily="49" charset="-128"/>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・時間数を入力してください。単位は時間です。ご不明な場合は右上の時間数換算表をご使用ください。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例）</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分　→　○</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・入力は「数字」のみとし、「文字」は入力しないでください。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例）</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　→　○</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1.5</a:t>
          </a: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0</xdr:colOff>
      <xdr:row>0</xdr:row>
      <xdr:rowOff>158750</xdr:rowOff>
    </xdr:from>
    <xdr:to>
      <xdr:col>10</xdr:col>
      <xdr:colOff>188582</xdr:colOff>
      <xdr:row>6</xdr:row>
      <xdr:rowOff>120650</xdr:rowOff>
    </xdr:to>
    <xdr:sp macro="" textlink="">
      <xdr:nvSpPr>
        <xdr:cNvPr id="4" name="テキスト ボックス 3">
          <a:extLst>
            <a:ext uri="{FF2B5EF4-FFF2-40B4-BE49-F238E27FC236}">
              <a16:creationId xmlns:a16="http://schemas.microsoft.com/office/drawing/2014/main" id="{D102D335-C421-4140-8A5B-DD3E84E03215}"/>
            </a:ext>
          </a:extLst>
        </xdr:cNvPr>
        <xdr:cNvSpPr txBox="1"/>
      </xdr:nvSpPr>
      <xdr:spPr>
        <a:xfrm>
          <a:off x="0" y="158750"/>
          <a:ext cx="4580665" cy="1104900"/>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47625</xdr:colOff>
      <xdr:row>0</xdr:row>
      <xdr:rowOff>57150</xdr:rowOff>
    </xdr:from>
    <xdr:to>
      <xdr:col>6</xdr:col>
      <xdr:colOff>3714750</xdr:colOff>
      <xdr:row>5</xdr:row>
      <xdr:rowOff>238125</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6648450" y="57150"/>
          <a:ext cx="3667125" cy="118110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6</xdr:col>
      <xdr:colOff>47625</xdr:colOff>
      <xdr:row>6</xdr:row>
      <xdr:rowOff>38100</xdr:rowOff>
    </xdr:from>
    <xdr:to>
      <xdr:col>6</xdr:col>
      <xdr:colOff>3714750</xdr:colOff>
      <xdr:row>15</xdr:row>
      <xdr:rowOff>0</xdr:rowOff>
    </xdr:to>
    <xdr:sp macro="" textlink="">
      <xdr:nvSpPr>
        <xdr:cNvPr id="3" name="正方形/長方形 2">
          <a:extLst>
            <a:ext uri="{FF2B5EF4-FFF2-40B4-BE49-F238E27FC236}">
              <a16:creationId xmlns:a16="http://schemas.microsoft.com/office/drawing/2014/main" id="{00000000-0008-0000-0C00-000003000000}"/>
            </a:ext>
          </a:extLst>
        </xdr:cNvPr>
        <xdr:cNvSpPr/>
      </xdr:nvSpPr>
      <xdr:spPr>
        <a:xfrm>
          <a:off x="6648450" y="1419225"/>
          <a:ext cx="3667125" cy="33909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入力方法</a:t>
          </a:r>
          <a:r>
            <a:rPr kumimoji="1" lang="en-US" altLang="ja-JP" sz="1000" b="1">
              <a:latin typeface="ＭＳ ゴシック" panose="020B0609070205080204" pitchFamily="49" charset="-128"/>
              <a:ea typeface="ＭＳ ゴシック" panose="020B0609070205080204" pitchFamily="49" charset="-128"/>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・学級担任は</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常勤専任</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である必要があります。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・年齢の高いクラス（年長）から記入してください。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・本表と同様の内容が確認できる書類の提出がある場合は、本クラス編成表の提出を省略することができます。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・チーム保育加配加算を受ける場合は、「副担任等の学級担任以外の教員を配置」「少人数の学級編成を行う」等低年齢児を中心として小集団化したグループ教育を実施していることが必要です。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・列数や行数は自由に組み替えていただいて構いません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様式に保護は掛けていません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33619</xdr:colOff>
      <xdr:row>0</xdr:row>
      <xdr:rowOff>11205</xdr:rowOff>
    </xdr:from>
    <xdr:to>
      <xdr:col>15</xdr:col>
      <xdr:colOff>4022912</xdr:colOff>
      <xdr:row>9</xdr:row>
      <xdr:rowOff>78441</xdr:rowOff>
    </xdr:to>
    <xdr:sp macro="" textlink="">
      <xdr:nvSpPr>
        <xdr:cNvPr id="3" name="正方形/長方形 2">
          <a:extLst>
            <a:ext uri="{FF2B5EF4-FFF2-40B4-BE49-F238E27FC236}">
              <a16:creationId xmlns:a16="http://schemas.microsoft.com/office/drawing/2014/main" id="{00000000-0008-0000-0D00-000003000000}"/>
            </a:ext>
          </a:extLst>
        </xdr:cNvPr>
        <xdr:cNvSpPr/>
      </xdr:nvSpPr>
      <xdr:spPr>
        <a:xfrm>
          <a:off x="9805148" y="11205"/>
          <a:ext cx="3989293" cy="1781736"/>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15</xdr:col>
      <xdr:colOff>47999</xdr:colOff>
      <xdr:row>9</xdr:row>
      <xdr:rowOff>182469</xdr:rowOff>
    </xdr:from>
    <xdr:to>
      <xdr:col>16</xdr:col>
      <xdr:colOff>0</xdr:colOff>
      <xdr:row>93</xdr:row>
      <xdr:rowOff>63500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1171082" y="1896969"/>
          <a:ext cx="3656168" cy="13184281"/>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利用児童状況</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・各月「</a:t>
          </a:r>
          <a:r>
            <a:rPr kumimoji="1" lang="ja-JP" altLang="en-US" sz="1000">
              <a:solidFill>
                <a:srgbClr val="FF0000"/>
              </a:solidFill>
              <a:latin typeface="ＭＳ ゴシック" panose="020B0609070205080204" pitchFamily="49" charset="-128"/>
              <a:ea typeface="ＭＳ ゴシック" panose="020B0609070205080204" pitchFamily="49" charset="-128"/>
            </a:rPr>
            <a:t>初日</a:t>
          </a:r>
          <a:r>
            <a:rPr kumimoji="1" lang="en-US" altLang="ja-JP" sz="1000">
              <a:solidFill>
                <a:srgbClr val="FF0000"/>
              </a:solidFill>
              <a:latin typeface="ＭＳ ゴシック" panose="020B0609070205080204" pitchFamily="49" charset="-128"/>
              <a:ea typeface="ＭＳ ゴシック" panose="020B0609070205080204" pitchFamily="49" charset="-128"/>
            </a:rPr>
            <a:t>(1</a:t>
          </a:r>
          <a:r>
            <a:rPr kumimoji="1" lang="ja-JP" altLang="en-US" sz="1000">
              <a:solidFill>
                <a:srgbClr val="FF0000"/>
              </a:solidFill>
              <a:latin typeface="ＭＳ ゴシック" panose="020B0609070205080204" pitchFamily="49" charset="-128"/>
              <a:ea typeface="ＭＳ ゴシック" panose="020B0609070205080204" pitchFamily="49" charset="-128"/>
            </a:rPr>
            <a:t>日</a:t>
          </a:r>
          <a:r>
            <a:rPr kumimoji="1" lang="en-US" altLang="ja-JP" sz="1000">
              <a:solidFill>
                <a:srgbClr val="FF0000"/>
              </a:solidFill>
              <a:latin typeface="ＭＳ ゴシック" panose="020B0609070205080204" pitchFamily="49" charset="-128"/>
              <a:ea typeface="ＭＳ ゴシック" panose="020B0609070205080204" pitchFamily="49" charset="-128"/>
            </a:rPr>
            <a:t>)</a:t>
          </a:r>
          <a:r>
            <a:rPr kumimoji="1" lang="ja-JP" altLang="en-US" sz="1000">
              <a:solidFill>
                <a:srgbClr val="FF0000"/>
              </a:solidFill>
              <a:latin typeface="ＭＳ ゴシック" panose="020B0609070205080204" pitchFamily="49" charset="-128"/>
              <a:ea typeface="ＭＳ ゴシック" panose="020B0609070205080204" pitchFamily="49" charset="-128"/>
            </a:rPr>
            <a:t>時点</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の在籍状況を記載すること（</a:t>
          </a:r>
          <a:r>
            <a:rPr kumimoji="1" lang="ja-JP" altLang="en-US" sz="1000">
              <a:solidFill>
                <a:srgbClr val="FF0000"/>
              </a:solidFill>
              <a:latin typeface="ＭＳ ゴシック" panose="020B0609070205080204" pitchFamily="49" charset="-128"/>
              <a:ea typeface="ＭＳ ゴシック" panose="020B0609070205080204" pitchFamily="49" charset="-128"/>
            </a:rPr>
            <a:t>月中途入所は記載しない</a:t>
          </a:r>
          <a:r>
            <a:rPr kumimoji="1" lang="ja-JP" altLang="en-US" sz="1000">
              <a:latin typeface="ＭＳ ゴシック" panose="020B0609070205080204" pitchFamily="49" charset="-128"/>
              <a:ea typeface="ＭＳ ゴシック" panose="020B0609070205080204" pitchFamily="49" charset="-128"/>
            </a:rPr>
            <a:t>）</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・年齢は「</a:t>
          </a:r>
          <a:r>
            <a:rPr kumimoji="1" lang="ja-JP" altLang="en-US" sz="1000">
              <a:solidFill>
                <a:srgbClr val="FF0000"/>
              </a:solidFill>
              <a:latin typeface="ＭＳ ゴシック" panose="020B0609070205080204" pitchFamily="49" charset="-128"/>
              <a:ea typeface="ＭＳ ゴシック" panose="020B0609070205080204" pitchFamily="49" charset="-128"/>
            </a:rPr>
            <a:t>クラス年齢</a:t>
          </a:r>
          <a:r>
            <a:rPr kumimoji="1" lang="ja-JP" altLang="en-US" sz="1000">
              <a:latin typeface="ＭＳ ゴシック" panose="020B0609070205080204" pitchFamily="49" charset="-128"/>
              <a:ea typeface="ＭＳ ゴシック" panose="020B0609070205080204" pitchFamily="49" charset="-128"/>
            </a:rPr>
            <a:t>」となります。なお、満</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歳児</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号児童</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のみクラス年齢ではないことに留意すること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号児童は保育必要量別（標準時間</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短時間）で記載すること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・札幌市内児童と札幌市外児童を分けて記載すること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職員配置は市内＋市外児童の合計数で算出</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加算・減算・補助金等</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　以下の構成となっており、それぞれ担当分を入力すること。なお、公定価格と補助金の担当者は重複できないため留意すること。また、補助金で挙げた担当者の人件費をそれぞれの補助金申請で計上すること。</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上段：公定価格に係る基本配置・加算・減算</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下段：補助金等</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①　項目</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基本配置や加算・減算の項目</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②　担当</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・職種</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配置すべき職種</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・配置者</a:t>
          </a:r>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条件</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申請状況が「○」「△」の場合は、配置条件が表示又は担当者名を選択する必要がある場合は「担当者名」欄に色が付く　</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担当者名</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色がついている場合のみ、「項目」及び「職種」に応じた担当職員をドロップダウンから選択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勤務時間</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「担当者名」で選択した職員の勤務時間が表示</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確認</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「担当者名」で選択した職員に応じて下記が表示。「○」以外は見直しが必要</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○：問題なし</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要常勤：常勤を選ぶべきところ非常勤を選択しているエラー</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時間無：勤務時間</a:t>
          </a:r>
          <a:r>
            <a:rPr kumimoji="1" lang="en-US" altLang="ja-JP" sz="1000">
              <a:latin typeface="ＭＳ ゴシック" panose="020B0609070205080204" pitchFamily="49" charset="-128"/>
              <a:ea typeface="ＭＳ ゴシック" panose="020B0609070205080204" pitchFamily="49" charset="-128"/>
            </a:rPr>
            <a:t>0</a:t>
          </a:r>
          <a:r>
            <a:rPr kumimoji="1" lang="ja-JP" altLang="en-US" sz="1000">
              <a:latin typeface="ＭＳ ゴシック" panose="020B0609070205080204" pitchFamily="49" charset="-128"/>
              <a:ea typeface="ＭＳ ゴシック" panose="020B0609070205080204" pitchFamily="49" charset="-128"/>
            </a:rPr>
            <a:t>時間の職員を選択しているエラー</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重複：他の基本配置、加算で既に選択しているエラー</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名簿無：様式</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にいない職員を選択しているエラー</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対象外：要件を満たさない職員を選択しているエラー</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担当時間</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担当時間を分けることができる場合は色が付く。その際、担当時間を入力すると入力時間に応じた常勤換算数が別途算出</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・常勤換算数</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配置者に入力した状況に応じて常勤換算数が表示。下限設定がある場合は「調整」と表示されたうえで、調整後の常勤換算数が表示</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全計上：勤務時間＝担当時間</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調整①：非常勤職員の下限（</a:t>
          </a:r>
          <a:r>
            <a:rPr kumimoji="1" lang="en-US" altLang="ja-JP" sz="1000">
              <a:latin typeface="ＭＳ ゴシック" panose="020B0609070205080204" pitchFamily="49" charset="-128"/>
              <a:ea typeface="ＭＳ ゴシック" panose="020B0609070205080204" pitchFamily="49" charset="-128"/>
            </a:rPr>
            <a:t>0.5</a:t>
          </a:r>
          <a:r>
            <a:rPr kumimoji="1" lang="ja-JP" altLang="en-US" sz="1000">
              <a:latin typeface="ＭＳ ゴシック" panose="020B0609070205080204" pitchFamily="49" charset="-128"/>
              <a:ea typeface="ＭＳ ゴシック" panose="020B0609070205080204" pitchFamily="49" charset="-128"/>
            </a:rPr>
            <a:t>人</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月）。ただし、</a:t>
          </a:r>
          <a:r>
            <a:rPr kumimoji="1" lang="en-US" altLang="ja-JP" sz="1000">
              <a:latin typeface="ＭＳ ゴシック" panose="020B0609070205080204" pitchFamily="49" charset="-128"/>
              <a:ea typeface="ＭＳ ゴシック" panose="020B0609070205080204" pitchFamily="49" charset="-128"/>
            </a:rPr>
            <a:t>2021</a:t>
          </a:r>
          <a:r>
            <a:rPr kumimoji="1" lang="ja-JP" altLang="en-US" sz="1000">
              <a:latin typeface="ＭＳ ゴシック" panose="020B0609070205080204" pitchFamily="49" charset="-128"/>
              <a:ea typeface="ＭＳ ゴシック" panose="020B0609070205080204" pitchFamily="49" charset="-128"/>
            </a:rPr>
            <a:t>年度は下限設定なし</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エラー：担当時間＞勤務時間となっているか、担当時間に数値以外が入力されているため見直すこと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③　判定（取得数）</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・申請状況</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様式</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－各個票の入力状況に応じて申請状況を表示。申請が無い加算は取得できない。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申請あり：○又は△</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申請なし；</a:t>
          </a:r>
          <a:r>
            <a:rPr kumimoji="1" lang="en-US" altLang="ja-JP" sz="1000">
              <a:latin typeface="ＭＳ ゴシック" panose="020B0609070205080204" pitchFamily="49" charset="-128"/>
              <a:ea typeface="ＭＳ ゴシック" panose="020B0609070205080204" pitchFamily="49" charset="-128"/>
            </a:rPr>
            <a:t>×</a:t>
          </a:r>
        </a:p>
        <a:p>
          <a:pPr algn="l"/>
          <a:r>
            <a:rPr kumimoji="1" lang="ja-JP" altLang="en-US" sz="1000" b="1">
              <a:latin typeface="ＭＳ ゴシック" panose="020B0609070205080204" pitchFamily="49" charset="-128"/>
              <a:ea typeface="ＭＳ ゴシック" panose="020B0609070205080204" pitchFamily="49" charset="-128"/>
            </a:rPr>
            <a:t>・判定</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基本配置や加算</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減算の判定結果が表示。</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○：加算取得</a:t>
          </a:r>
          <a:r>
            <a:rPr kumimoji="1" lang="en-US" altLang="ja-JP" sz="1000">
              <a:latin typeface="ＭＳ ゴシック" panose="020B0609070205080204" pitchFamily="49" charset="-128"/>
              <a:ea typeface="ＭＳ ゴシック" panose="020B0609070205080204" pitchFamily="49" charset="-128"/>
            </a:rPr>
            <a:t>OK</a:t>
          </a:r>
        </a:p>
        <a:p>
          <a:pPr algn="l"/>
          <a:r>
            <a:rPr kumimoji="1" lang="ja-JP" altLang="en-US" sz="1000">
              <a:latin typeface="ＭＳ ゴシック" panose="020B0609070205080204" pitchFamily="49" charset="-128"/>
              <a:ea typeface="ＭＳ ゴシック" panose="020B0609070205080204" pitchFamily="49" charset="-128"/>
            </a:rPr>
            <a:t>　</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：加算要件等が満たされていない又は入力状況に誤りがあるため見直すこと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－：未申請</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数値：加算や減算の取得（配置）数が表記</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・公定価格と補助金の担当者は重複できないため留意</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補助金で挙げた担当者の人件費をそれぞれの補助金申請で計上することを原則とし、その他配置ルール等は各補助金の規定に従うこと。なお、当該様式に表示されている常勤換算数は予定勤務時間であるため、各補助金計上時は実際時間数又は経費を計上する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・チーム保育加配加算について、当該様式で上限値を確認後に取得人数を様式</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の個票で選択すること</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配置数</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lang="ja-JP" altLang="en-US" sz="1000">
              <a:effectLst/>
              <a:latin typeface="ＭＳ ゴシック" panose="020B0609070205080204" pitchFamily="49" charset="-128"/>
              <a:ea typeface="ＭＳ ゴシック" panose="020B0609070205080204" pitchFamily="49" charset="-128"/>
            </a:rPr>
            <a:t>　様式</a:t>
          </a:r>
          <a:r>
            <a:rPr lang="en-US" altLang="ja-JP" sz="1000">
              <a:effectLst/>
              <a:latin typeface="ＭＳ ゴシック" panose="020B0609070205080204" pitchFamily="49" charset="-128"/>
              <a:ea typeface="ＭＳ ゴシック" panose="020B0609070205080204" pitchFamily="49" charset="-128"/>
            </a:rPr>
            <a:t>2</a:t>
          </a:r>
          <a:r>
            <a:rPr lang="ja-JP" altLang="en-US" sz="1000">
              <a:effectLst/>
              <a:latin typeface="ＭＳ ゴシック" panose="020B0609070205080204" pitchFamily="49" charset="-128"/>
              <a:ea typeface="ＭＳ ゴシック" panose="020B0609070205080204" pitchFamily="49" charset="-128"/>
            </a:rPr>
            <a:t>より自動引用。</a:t>
          </a:r>
          <a:endParaRPr lang="en-US" altLang="ja-JP" sz="1000">
            <a:effectLst/>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47626</xdr:colOff>
      <xdr:row>93</xdr:row>
      <xdr:rowOff>155577</xdr:rowOff>
    </xdr:from>
    <xdr:to>
      <xdr:col>15</xdr:col>
      <xdr:colOff>3697818</xdr:colOff>
      <xdr:row>106</xdr:row>
      <xdr:rowOff>49743</xdr:rowOff>
    </xdr:to>
    <xdr:sp macro="" textlink="">
      <xdr:nvSpPr>
        <xdr:cNvPr id="2" name="正方形/長方形 1">
          <a:extLst>
            <a:ext uri="{FF2B5EF4-FFF2-40B4-BE49-F238E27FC236}">
              <a16:creationId xmlns:a16="http://schemas.microsoft.com/office/drawing/2014/main" id="{9EB8E90E-926D-417F-868C-16C3D23610A7}"/>
            </a:ext>
          </a:extLst>
        </xdr:cNvPr>
        <xdr:cNvSpPr/>
      </xdr:nvSpPr>
      <xdr:spPr>
        <a:xfrm>
          <a:off x="11170709" y="15173327"/>
          <a:ext cx="3650192" cy="2328333"/>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lang="en-US" altLang="ja-JP" sz="1000">
              <a:effectLst/>
              <a:latin typeface="ＭＳ ゴシック" panose="020B0609070205080204" pitchFamily="49" charset="-128"/>
              <a:ea typeface="ＭＳ ゴシック" panose="020B0609070205080204" pitchFamily="49" charset="-128"/>
            </a:rPr>
            <a:t>【</a:t>
          </a:r>
          <a:r>
            <a:rPr lang="ja-JP" altLang="en-US" sz="1000">
              <a:effectLst/>
              <a:latin typeface="ＭＳ ゴシック" panose="020B0609070205080204" pitchFamily="49" charset="-128"/>
              <a:ea typeface="ＭＳ ゴシック" panose="020B0609070205080204" pitchFamily="49" charset="-128"/>
            </a:rPr>
            <a:t>必要職員数数</a:t>
          </a:r>
          <a:r>
            <a:rPr lang="en-US" altLang="ja-JP" sz="1000">
              <a:effectLst/>
              <a:latin typeface="ＭＳ ゴシック" panose="020B0609070205080204" pitchFamily="49" charset="-128"/>
              <a:ea typeface="ＭＳ ゴシック" panose="020B0609070205080204" pitchFamily="49" charset="-128"/>
            </a:rPr>
            <a:t>】</a:t>
          </a:r>
        </a:p>
        <a:p>
          <a:r>
            <a:rPr lang="ja-JP" altLang="en-US" sz="1000">
              <a:effectLst/>
              <a:latin typeface="ＭＳ ゴシック" panose="020B0609070205080204" pitchFamily="49" charset="-128"/>
              <a:ea typeface="ＭＳ ゴシック" panose="020B0609070205080204" pitchFamily="49" charset="-128"/>
            </a:rPr>
            <a:t>　公定価格上の基本配置や加算に必要な職員数を算出し、実際の配置数と比較し過不足を確認</a:t>
          </a:r>
        </a:p>
        <a:p>
          <a:r>
            <a:rPr lang="ja-JP" altLang="en-US" sz="1000">
              <a:effectLst/>
              <a:latin typeface="ＭＳ ゴシック" panose="020B0609070205080204" pitchFamily="49" charset="-128"/>
              <a:ea typeface="ＭＳ ゴシック" panose="020B0609070205080204" pitchFamily="49" charset="-128"/>
            </a:rPr>
            <a:t>①　項目　</a:t>
          </a:r>
        </a:p>
        <a:p>
          <a:r>
            <a:rPr lang="ja-JP" altLang="en-US" sz="1000">
              <a:effectLst/>
              <a:latin typeface="ＭＳ ゴシック" panose="020B0609070205080204" pitchFamily="49" charset="-128"/>
              <a:ea typeface="ＭＳ ゴシック" panose="020B0609070205080204" pitchFamily="49" charset="-128"/>
            </a:rPr>
            <a:t>　職種ごとの基本配置や加算</a:t>
          </a:r>
        </a:p>
        <a:p>
          <a:r>
            <a:rPr lang="ja-JP" altLang="en-US" sz="1000">
              <a:effectLst/>
              <a:latin typeface="ＭＳ ゴシック" panose="020B0609070205080204" pitchFamily="49" charset="-128"/>
              <a:ea typeface="ＭＳ ゴシック" panose="020B0609070205080204" pitchFamily="49" charset="-128"/>
            </a:rPr>
            <a:t>②　必要数</a:t>
          </a:r>
        </a:p>
        <a:p>
          <a:r>
            <a:rPr lang="ja-JP" altLang="en-US" sz="1000">
              <a:effectLst/>
              <a:latin typeface="ＭＳ ゴシック" panose="020B0609070205080204" pitchFamily="49" charset="-128"/>
              <a:ea typeface="ＭＳ ゴシック" panose="020B0609070205080204" pitchFamily="49" charset="-128"/>
            </a:rPr>
            <a:t>　留意事項に定められた必要数を自動算出</a:t>
          </a:r>
        </a:p>
        <a:p>
          <a:r>
            <a:rPr lang="ja-JP" altLang="en-US" sz="1000">
              <a:effectLst/>
              <a:latin typeface="ＭＳ ゴシック" panose="020B0609070205080204" pitchFamily="49" charset="-128"/>
              <a:ea typeface="ＭＳ ゴシック" panose="020B0609070205080204" pitchFamily="49" charset="-128"/>
            </a:rPr>
            <a:t>③　配置数</a:t>
          </a:r>
        </a:p>
        <a:p>
          <a:r>
            <a:rPr lang="ja-JP" altLang="en-US" sz="1000">
              <a:effectLst/>
              <a:latin typeface="ＭＳ ゴシック" panose="020B0609070205080204" pitchFamily="49" charset="-128"/>
              <a:ea typeface="ＭＳ ゴシック" panose="020B0609070205080204" pitchFamily="49" charset="-128"/>
            </a:rPr>
            <a:t>　前述の配置数より自動引用</a:t>
          </a:r>
        </a:p>
        <a:p>
          <a:r>
            <a:rPr lang="ja-JP" altLang="en-US" sz="1000">
              <a:effectLst/>
              <a:latin typeface="ＭＳ ゴシック" panose="020B0609070205080204" pitchFamily="49" charset="-128"/>
              <a:ea typeface="ＭＳ ゴシック" panose="020B0609070205080204" pitchFamily="49" charset="-128"/>
            </a:rPr>
            <a:t>④　配置数</a:t>
          </a:r>
          <a:r>
            <a:rPr lang="en-US" altLang="ja-JP" sz="1000">
              <a:effectLst/>
              <a:latin typeface="ＭＳ ゴシック" panose="020B0609070205080204" pitchFamily="49" charset="-128"/>
              <a:ea typeface="ＭＳ ゴシック" panose="020B0609070205080204" pitchFamily="49" charset="-128"/>
            </a:rPr>
            <a:t>‐</a:t>
          </a:r>
          <a:r>
            <a:rPr lang="ja-JP" altLang="en-US" sz="1000">
              <a:effectLst/>
              <a:latin typeface="ＭＳ ゴシック" panose="020B0609070205080204" pitchFamily="49" charset="-128"/>
              <a:ea typeface="ＭＳ ゴシック" panose="020B0609070205080204" pitchFamily="49" charset="-128"/>
            </a:rPr>
            <a:t>必要数</a:t>
          </a:r>
        </a:p>
        <a:p>
          <a:r>
            <a:rPr lang="ja-JP" altLang="en-US" sz="1000">
              <a:effectLst/>
              <a:latin typeface="ＭＳ ゴシック" panose="020B0609070205080204" pitchFamily="49" charset="-128"/>
              <a:ea typeface="ＭＳ ゴシック" panose="020B0609070205080204" pitchFamily="49" charset="-128"/>
            </a:rPr>
            <a:t>　②</a:t>
          </a:r>
          <a:r>
            <a:rPr lang="en-US" altLang="ja-JP" sz="1000">
              <a:effectLst/>
              <a:latin typeface="ＭＳ ゴシック" panose="020B0609070205080204" pitchFamily="49" charset="-128"/>
              <a:ea typeface="ＭＳ ゴシック" panose="020B0609070205080204" pitchFamily="49" charset="-128"/>
            </a:rPr>
            <a:t>‐③</a:t>
          </a:r>
          <a:r>
            <a:rPr lang="ja-JP" altLang="en-US" sz="1000">
              <a:effectLst/>
              <a:latin typeface="ＭＳ ゴシック" panose="020B0609070205080204" pitchFamily="49" charset="-128"/>
              <a:ea typeface="ＭＳ ゴシック" panose="020B0609070205080204" pitchFamily="49" charset="-128"/>
            </a:rPr>
            <a:t>の結果を表示。マイナスになる場合、充足されていないため見直しが必要であり、見直し後もマイナスの場合は指導監査の指導対象となりえる</a:t>
          </a:r>
        </a:p>
        <a:p>
          <a:endParaRPr lang="en-US" altLang="ja-JP" sz="1000">
            <a:effectLst/>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137584</xdr:colOff>
      <xdr:row>4</xdr:row>
      <xdr:rowOff>31750</xdr:rowOff>
    </xdr:from>
    <xdr:to>
      <xdr:col>14</xdr:col>
      <xdr:colOff>643666</xdr:colOff>
      <xdr:row>9</xdr:row>
      <xdr:rowOff>184150</xdr:rowOff>
    </xdr:to>
    <xdr:sp macro="" textlink="">
      <xdr:nvSpPr>
        <xdr:cNvPr id="5" name="テキスト ボックス 4">
          <a:extLst>
            <a:ext uri="{FF2B5EF4-FFF2-40B4-BE49-F238E27FC236}">
              <a16:creationId xmlns:a16="http://schemas.microsoft.com/office/drawing/2014/main" id="{B0634BA6-18CF-44E0-9C1A-CAD8BC019564}"/>
            </a:ext>
          </a:extLst>
        </xdr:cNvPr>
        <xdr:cNvSpPr txBox="1"/>
      </xdr:nvSpPr>
      <xdr:spPr>
        <a:xfrm>
          <a:off x="7471834" y="793750"/>
          <a:ext cx="4580665" cy="1104900"/>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28</xdr:col>
      <xdr:colOff>40821</xdr:colOff>
      <xdr:row>0</xdr:row>
      <xdr:rowOff>0</xdr:rowOff>
    </xdr:from>
    <xdr:to>
      <xdr:col>28</xdr:col>
      <xdr:colOff>3784145</xdr:colOff>
      <xdr:row>5</xdr:row>
      <xdr:rowOff>228600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13457464" y="0"/>
          <a:ext cx="3743324" cy="118110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2</xdr:col>
      <xdr:colOff>74083</xdr:colOff>
      <xdr:row>0</xdr:row>
      <xdr:rowOff>84667</xdr:rowOff>
    </xdr:from>
    <xdr:to>
      <xdr:col>12</xdr:col>
      <xdr:colOff>315582</xdr:colOff>
      <xdr:row>4</xdr:row>
      <xdr:rowOff>268817</xdr:rowOff>
    </xdr:to>
    <xdr:sp macro="" textlink="">
      <xdr:nvSpPr>
        <xdr:cNvPr id="3" name="テキスト ボックス 2">
          <a:extLst>
            <a:ext uri="{FF2B5EF4-FFF2-40B4-BE49-F238E27FC236}">
              <a16:creationId xmlns:a16="http://schemas.microsoft.com/office/drawing/2014/main" id="{9F517803-632C-4977-9008-D82844260098}"/>
            </a:ext>
          </a:extLst>
        </xdr:cNvPr>
        <xdr:cNvSpPr txBox="1"/>
      </xdr:nvSpPr>
      <xdr:spPr>
        <a:xfrm>
          <a:off x="857250" y="84667"/>
          <a:ext cx="4580665" cy="1104900"/>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590550</xdr:colOff>
      <xdr:row>26</xdr:row>
      <xdr:rowOff>0</xdr:rowOff>
    </xdr:from>
    <xdr:to>
      <xdr:col>10</xdr:col>
      <xdr:colOff>99732</xdr:colOff>
      <xdr:row>29</xdr:row>
      <xdr:rowOff>152400</xdr:rowOff>
    </xdr:to>
    <xdr:sp macro="" textlink="">
      <xdr:nvSpPr>
        <xdr:cNvPr id="2" name="吹き出し: 四角形 1">
          <a:extLst>
            <a:ext uri="{FF2B5EF4-FFF2-40B4-BE49-F238E27FC236}">
              <a16:creationId xmlns:a16="http://schemas.microsoft.com/office/drawing/2014/main" id="{DB917E76-FA6F-403B-AE75-BBC4B7DB275C}"/>
            </a:ext>
          </a:extLst>
        </xdr:cNvPr>
        <xdr:cNvSpPr/>
      </xdr:nvSpPr>
      <xdr:spPr>
        <a:xfrm>
          <a:off x="11534775" y="4924425"/>
          <a:ext cx="2252382" cy="695325"/>
        </a:xfrm>
        <a:prstGeom prst="wedgeRectCallout">
          <a:avLst>
            <a:gd name="adj1" fmla="val -40564"/>
            <a:gd name="adj2" fmla="val -10618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・療育支援加算の数式変更。</a:t>
          </a:r>
          <a:endParaRPr kumimoji="1" lang="en-US" altLang="ja-JP" sz="1100"/>
        </a:p>
        <a:p>
          <a:pPr algn="l"/>
          <a:r>
            <a:rPr kumimoji="1" lang="ja-JP" altLang="en-US" sz="1100"/>
            <a:t>　＝</a:t>
          </a:r>
          <a:r>
            <a:rPr kumimoji="1" lang="en-US" altLang="ja-JP" sz="1100"/>
            <a:t>G20</a:t>
          </a:r>
          <a:r>
            <a:rPr kumimoji="1" lang="ja-JP" altLang="en-US" sz="1100"/>
            <a:t>セル→</a:t>
          </a:r>
          <a:r>
            <a:rPr kumimoji="1" lang="en-US" altLang="ja-JP" sz="1100"/>
            <a:t>IF</a:t>
          </a:r>
          <a:r>
            <a:rPr kumimoji="1" lang="ja-JP" altLang="en-US" sz="1100"/>
            <a:t>式</a:t>
          </a:r>
          <a:endParaRPr kumimoji="1" lang="en-US" altLang="ja-JP" sz="1100"/>
        </a:p>
        <a:p>
          <a:pPr algn="l"/>
          <a:r>
            <a:rPr kumimoji="1" lang="ja-JP" altLang="en-US" sz="1100"/>
            <a:t>・講師配置加算追加。</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57152</xdr:colOff>
      <xdr:row>0</xdr:row>
      <xdr:rowOff>104775</xdr:rowOff>
    </xdr:from>
    <xdr:to>
      <xdr:col>33</xdr:col>
      <xdr:colOff>4325470</xdr:colOff>
      <xdr:row>6</xdr:row>
      <xdr:rowOff>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7509064" y="104775"/>
          <a:ext cx="4268318" cy="118110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33</xdr:col>
      <xdr:colOff>76200</xdr:colOff>
      <xdr:row>6</xdr:row>
      <xdr:rowOff>142874</xdr:rowOff>
    </xdr:from>
    <xdr:to>
      <xdr:col>33</xdr:col>
      <xdr:colOff>4269441</xdr:colOff>
      <xdr:row>50</xdr:row>
      <xdr:rowOff>9524</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7528112" y="1476374"/>
          <a:ext cx="4193241" cy="8136591"/>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法人名・代表者名</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運営二係に登録した債権者と同一としてください。</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申請月</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申請月をドロップダウンから選択してください。</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所在区・施設名</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所在区→施設名の順に選択してください。</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所在地</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施設所在地を記載してください。</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利用定員</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前述の施設名を入れると自動出力。年度内途中で利用定員を変更した場合のみ、上書き修正すること</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判定</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個票を入力すると判定結果が表示されます。申請・取得したい加算が正しく表示されているかを確認したうえで提出してください。誤ったまま提出した場合は加算が取得できません。</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「土曜日に閉所する場合」については、備考欄に前月分の実績が表示されます。実績で変更があった場合、遡及変更申請扱いとなります。</a:t>
          </a:r>
          <a:endParaRPr kumimoji="1" lang="en-US" altLang="ja-JP" sz="10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加算適用開始（変更）月</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加算を取得開始または変更した月を入力。</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例１）</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月分作成時：処遇改善等加算を</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月から取得</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　</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月から継続中のため「</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月」を選択</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例２）</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月分作成時：栄養管理加算</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月～兼務／</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月～配置</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　</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月から変更のため「</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月」を選択</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114301</xdr:colOff>
      <xdr:row>51</xdr:row>
      <xdr:rowOff>28574</xdr:rowOff>
    </xdr:from>
    <xdr:to>
      <xdr:col>33</xdr:col>
      <xdr:colOff>4291853</xdr:colOff>
      <xdr:row>85</xdr:row>
      <xdr:rowOff>47624</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7566213" y="9822515"/>
          <a:ext cx="4177552" cy="7863168"/>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基本配置職員</a:t>
          </a:r>
          <a:r>
            <a:rPr kumimoji="1" lang="en-US" altLang="ja-JP" sz="1000" b="1">
              <a:latin typeface="ＭＳ ゴシック" panose="020B0609070205080204" pitchFamily="49" charset="-128"/>
              <a:ea typeface="ＭＳ ゴシック" panose="020B0609070205080204" pitchFamily="49" charset="-128"/>
            </a:rPr>
            <a:t>】</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をすべて入力すること。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は①～③のうち一つずつ選択してください。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・基本配置は公定価格の基本単価に含まれている費用です。必ず満たすように配置してください</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満たさない配置はできません</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a:t>
          </a:r>
          <a:endParaRPr kumimoji="1" lang="en-US" altLang="ja-JP" sz="10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必要</a:t>
          </a:r>
          <a:endParaRPr lang="ja-JP" altLang="ja-JP" sz="1000">
            <a:effectLst/>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処遇改善等加算</a:t>
          </a:r>
          <a:r>
            <a:rPr kumimoji="1" lang="en-US" altLang="ja-JP" sz="1000" b="1">
              <a:latin typeface="ＭＳ ゴシック" panose="020B0609070205080204" pitchFamily="49" charset="-128"/>
              <a:ea typeface="ＭＳ ゴシック" panose="020B0609070205080204" pitchFamily="49" charset="-128"/>
            </a:rPr>
            <a:t>Ⅰ】</a:t>
          </a:r>
        </a:p>
        <a:p>
          <a:pPr algn="l"/>
          <a:r>
            <a:rPr kumimoji="1" lang="ja-JP" altLang="en-US" sz="1000">
              <a:latin typeface="ＭＳ ゴシック" panose="020B0609070205080204" pitchFamily="49" charset="-128"/>
              <a:ea typeface="ＭＳ ゴシック" panose="020B0609070205080204" pitchFamily="49" charset="-128"/>
            </a:rPr>
            <a:t>・申請する場合は「申請する」を選択してください。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副園長・教頭配置加算</a:t>
          </a:r>
          <a:r>
            <a:rPr kumimoji="1" lang="en-US" altLang="ja-JP" sz="1000" b="1">
              <a:latin typeface="ＭＳ ゴシック" panose="020B0609070205080204" pitchFamily="49" charset="-128"/>
              <a:ea typeface="ＭＳ ゴシック" panose="020B0609070205080204" pitchFamily="49"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の全ての要件を満たす場合加算</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：副園長・教頭の役職を設けている</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の発令を行っている</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：常勤職員である</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：園長</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副園長（教頭）を配置</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：他の学園の園長と兼務していない。兼務している場合は、申請施設が「本務」であること。</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なお、園長が「兼務」である場合は、園長を補佐する</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保育</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教諭</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名が追加で必要です</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幼稚園設置基準第</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条第</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項に規定する教員</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。これは様式</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の職員配置状況で確認します。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添付書類必要</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76200</xdr:colOff>
      <xdr:row>86</xdr:row>
      <xdr:rowOff>190499</xdr:rowOff>
    </xdr:from>
    <xdr:to>
      <xdr:col>33</xdr:col>
      <xdr:colOff>4314264</xdr:colOff>
      <xdr:row>128</xdr:row>
      <xdr:rowOff>142874</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7528112" y="18019058"/>
          <a:ext cx="4238064" cy="712414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【3</a:t>
          </a:r>
          <a:r>
            <a:rPr kumimoji="1" lang="ja-JP" altLang="en-US" sz="1000" b="1">
              <a:latin typeface="ＭＳ ゴシック" panose="020B0609070205080204" pitchFamily="49" charset="-128"/>
              <a:ea typeface="ＭＳ ゴシック" panose="020B0609070205080204" pitchFamily="49" charset="-128"/>
            </a:rPr>
            <a:t>歳児配置改善加算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様式</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で職員配置の充足を確認します。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満</a:t>
          </a:r>
          <a:r>
            <a:rPr kumimoji="1" lang="en-US" altLang="ja-JP" sz="1000" b="1">
              <a:latin typeface="ＭＳ ゴシック" panose="020B0609070205080204" pitchFamily="49" charset="-128"/>
              <a:ea typeface="ＭＳ ゴシック" panose="020B0609070205080204" pitchFamily="49" charset="-128"/>
            </a:rPr>
            <a:t>3</a:t>
          </a:r>
          <a:r>
            <a:rPr kumimoji="1" lang="ja-JP" altLang="en-US" sz="1000" b="1">
              <a:latin typeface="ＭＳ ゴシック" panose="020B0609070205080204" pitchFamily="49" charset="-128"/>
              <a:ea typeface="ＭＳ ゴシック" panose="020B0609070205080204" pitchFamily="49" charset="-128"/>
            </a:rPr>
            <a:t>歳児配置改善加算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で職員配置の充足を確認します。</a:t>
          </a:r>
          <a:endParaRPr lang="ja-JP" altLang="ja-JP" sz="1000">
            <a:effectLst/>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講師配置加算</a:t>
          </a:r>
          <a:r>
            <a:rPr kumimoji="1" lang="en-US" altLang="ja-JP" sz="1000" b="1">
              <a:latin typeface="ＭＳ ゴシック" panose="020B0609070205080204" pitchFamily="49" charset="-128"/>
              <a:ea typeface="ＭＳ ゴシック" panose="020B0609070205080204" pitchFamily="49"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の全ての要件を満たす場合加算</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：定員要件</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：職員配置を充足したうえで、余剰に教員を配置していること</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非常勤教諭以上を配置</a:t>
          </a:r>
          <a:r>
            <a:rPr kumimoji="1" lang="en-US" altLang="ja-JP" sz="1000">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なお、ここで定義される非常勤講師とは非常勤の教員です。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：有効な幼稚園教諭免許の保有</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更新期間切れは不可</a:t>
          </a:r>
          <a:r>
            <a:rPr kumimoji="1" lang="en-US" altLang="ja-JP" sz="1000">
              <a:latin typeface="ＭＳ ゴシック" panose="020B0609070205080204" pitchFamily="49" charset="-128"/>
              <a:ea typeface="ＭＳ ゴシック" panose="020B0609070205080204" pitchFamily="49" charset="-128"/>
            </a:rPr>
            <a:t>)</a:t>
          </a: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：発令</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発令無は不可</a:t>
          </a:r>
          <a:r>
            <a:rPr kumimoji="1" lang="en-US" altLang="ja-JP" sz="1000">
              <a:latin typeface="ＭＳ ゴシック" panose="020B0609070205080204" pitchFamily="49" charset="-128"/>
              <a:ea typeface="ＭＳ ゴシック" panose="020B0609070205080204" pitchFamily="49" charset="-128"/>
            </a:rPr>
            <a:t>)</a:t>
          </a: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添付書類必要</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チーム保育加配加算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の全ての要件を満たす場合加算</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職員配置の充足</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グループ教育の有無</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申請人数は、様式</a:t>
          </a:r>
          <a:r>
            <a:rPr kumimoji="1" lang="en-US" altLang="ja-JP" sz="1000">
              <a:solidFill>
                <a:srgbClr val="FF0000"/>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及び様式</a:t>
          </a:r>
          <a:r>
            <a:rPr kumimoji="1" lang="en-US" altLang="ja-JP" sz="1000">
              <a:solidFill>
                <a:srgbClr val="FF0000"/>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を入力した後で選択できるようになりますのでご注意ください。</a:t>
          </a:r>
          <a:endParaRPr kumimoji="1" lang="en-US" altLang="ja-JP" sz="1000">
            <a:solidFill>
              <a:srgbClr val="FF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通園送迎</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b="1">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加算要件：通園送迎を行っているかを確認</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なお、加算は送迎サービスを始めた月から認定します。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endParaRPr lang="ja-JP" altLang="ja-JP" sz="1000">
            <a:effectLst/>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57150</xdr:colOff>
      <xdr:row>131</xdr:row>
      <xdr:rowOff>24849</xdr:rowOff>
    </xdr:from>
    <xdr:to>
      <xdr:col>33</xdr:col>
      <xdr:colOff>4280647</xdr:colOff>
      <xdr:row>162</xdr:row>
      <xdr:rowOff>205824</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7287867" y="24980349"/>
          <a:ext cx="4223497" cy="783410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給食実施加算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をすべて入力する場合加算</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：実施開始月の選択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実施開始月から加算が認定されます。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ja-JP" altLang="en-US"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：加算区分の選択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加算区分は以下の</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種類です。</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調理～施設内調理設備を使用してきめ細かに調理を実施</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搬入～外部搬入</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各選択肢の説明</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①－ア</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調理を施設内設備で行っているかを確認</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①－イ</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ｲ</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は例外的に外部委託調理員が派遣され、自園の調理設備で加工を行う場合を想定</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①－ウ</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調理員が自園の調理設備できめ細やかに調理を行っているかを確認</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②</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外部搬入</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外部搬入し、自園の調理施設で加熱だけを行う等も含む</a:t>
          </a:r>
          <a:r>
            <a:rPr kumimoji="1" lang="en-US" altLang="ja-JP" sz="1000">
              <a:latin typeface="ＭＳ ゴシック" panose="020B0609070205080204" pitchFamily="49" charset="-128"/>
              <a:ea typeface="ＭＳ ゴシック" panose="020B0609070205080204" pitchFamily="49" charset="-128"/>
            </a:rPr>
            <a:t>)</a:t>
          </a:r>
        </a:p>
        <a:p>
          <a:pPr algn="l"/>
          <a:endParaRPr kumimoji="1" lang="ja-JP" altLang="en-US"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：実施日数の算定</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各選択肢の説明</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①　</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年間の修業日数（土・日・祝・休業期間を除いた日数。なお、下段の数値は土・日・祝を除外した参考日数です。）</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②　給食の実施予定数</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子ども全員に給食を提供できる日日をカウントします。また、添付書類と一致させてください</a:t>
          </a:r>
          <a:r>
            <a:rPr kumimoji="1" lang="en-US" altLang="ja-JP" sz="1000">
              <a:latin typeface="ＭＳ ゴシック" panose="020B0609070205080204" pitchFamily="49" charset="-128"/>
              <a:ea typeface="ＭＳ ゴシック" panose="020B0609070205080204" pitchFamily="49" charset="-128"/>
            </a:rPr>
            <a:t>)</a:t>
          </a: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添付書類必要</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58830</xdr:colOff>
      <xdr:row>166</xdr:row>
      <xdr:rowOff>22410</xdr:rowOff>
    </xdr:from>
    <xdr:to>
      <xdr:col>33</xdr:col>
      <xdr:colOff>4359087</xdr:colOff>
      <xdr:row>210</xdr:row>
      <xdr:rowOff>89646</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510742" y="33740910"/>
          <a:ext cx="4300257" cy="1039906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副食費徴収免除加算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solidFill>
                <a:srgbClr val="FF0000"/>
              </a:solidFill>
              <a:latin typeface="ＭＳ ゴシック" panose="020B0609070205080204" pitchFamily="49" charset="-128"/>
              <a:ea typeface="ＭＳ ゴシック" panose="020B0609070205080204" pitchFamily="49" charset="-128"/>
            </a:rPr>
            <a:t>・毎月分提出が必要です。</a:t>
          </a:r>
          <a:endParaRPr kumimoji="1" lang="en-US" altLang="ja-JP" sz="1000" b="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をすべて入力する場合加算</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：副食の実施の確認</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副食の一部</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牛乳のみ等</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を提供する場合は</a:t>
          </a:r>
          <a:r>
            <a:rPr kumimoji="1" lang="en-US" altLang="ja-JP" sz="1000">
              <a:latin typeface="ＭＳ ゴシック" panose="020B0609070205080204" pitchFamily="49" charset="-128"/>
              <a:ea typeface="ＭＳ ゴシック" panose="020B0609070205080204" pitchFamily="49" charset="-128"/>
            </a:rPr>
            <a:t>×</a:t>
          </a:r>
        </a:p>
        <a:p>
          <a:pPr algn="l"/>
          <a:endParaRPr kumimoji="1" lang="ja-JP" altLang="en-US"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：実施日数の確認</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①～⑤の要件に全て当てはまる副食実施日をカウント</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なお、当該副食に当てはまらないものについては、免除対象の保護者から料金を徴収してかまいません。</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日数等については別紙</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をご覧ください。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年齢別配置基準を下回る場合</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で自動判定し表示されます。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定員を恒常的に超過する場合</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・年度開始月に必ず作成し提出すること。</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・未入力は不可。</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↓各項目の説明</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：施設型給付認定開始月</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施設型給付費</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委託費</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を受けるようになった開始月を選択。施設型給付の受給を開始した年月を西暦で入力すること。なお、本制度は平成</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2015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年度から開始されましたので、それ以降の年月を入力することになります。また、保育所から認定こども園に移行するなど施設種別を変更した場合は、移行前の施設種別も含めた受給開始年月を記載します。</a:t>
          </a: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：月初日利用定員</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現在の利用定員が自動引用されています。定員変更等があった場合は上書き修正してください。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：月初日在籍子ども数</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月初日の児童数</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市内、市外問わない</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を入力してください。　</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減算は年度単位で適用されます。ただし、施設整備担当係等と協議を行い、利用定員の見直し等で定員超過が解消される見込みが立った場合は、減算を翌月（申出が月初日の場合は当該月）から解除いたします。その場合は「減算解除要件」に実施状況を入力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：協議年月日</a:t>
          </a:r>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　子ども未来局と協議した年月日を記載してください。なお、定員を見直した場合は、協議年月日と定員変更日を一致させてください。</a:t>
          </a:r>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例）●●年</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月から定員変更→協議年月日●●年</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月</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日</a:t>
          </a:r>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：見直し内容</a:t>
          </a:r>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　定員見直し又は受入れ人数見直しのどちらかを選択してください。</a:t>
          </a:r>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：協議先</a:t>
          </a:r>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　協議を行った相手先を記載してください（施設整備担当など）</a:t>
          </a:r>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　減算解除開始月に別紙</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月に別紙</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を提出してください。</a:t>
          </a:r>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　別紙</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baseline="0">
              <a:solidFill>
                <a:schemeClr val="dk1"/>
              </a:solidFill>
              <a:effectLst/>
              <a:latin typeface="ＭＳ ゴシック" panose="020B0609070205080204" pitchFamily="49" charset="-128"/>
              <a:ea typeface="ＭＳ ゴシック" panose="020B0609070205080204" pitchFamily="49" charset="-128"/>
              <a:cs typeface="+mn-cs"/>
            </a:rPr>
            <a:t>により、定員超過が解消させていないことが判明した場合は、遡及して減算が適用されます。</a:t>
          </a:r>
          <a:endPar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33</xdr:col>
      <xdr:colOff>47625</xdr:colOff>
      <xdr:row>211</xdr:row>
      <xdr:rowOff>0</xdr:rowOff>
    </xdr:from>
    <xdr:to>
      <xdr:col>33</xdr:col>
      <xdr:colOff>4336676</xdr:colOff>
      <xdr:row>256</xdr:row>
      <xdr:rowOff>38100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7499537" y="43232294"/>
          <a:ext cx="4289051" cy="10526806"/>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主幹教諭等専任加算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・代替教員数を算出するため、</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日当たりの教育時間と常勤職員の勤務時間数</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月を入力してください。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の全ての要件を満たす場合加算</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：主幹教諭と代替教諭の配置</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様式</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からの自動引用です。様式</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で、「主幹教諭」と「主幹代替教諭」を</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名ずつ選択してください。</a:t>
          </a:r>
          <a:endParaRPr kumimoji="1" lang="en-US" altLang="ja-JP" sz="1000">
            <a:latin typeface="+mn-ea"/>
            <a:ea typeface="+mn-ea"/>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：事業要件</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つ以上実施していること</a:t>
          </a:r>
          <a:r>
            <a:rPr kumimoji="1" lang="en-US" altLang="ja-JP" sz="1000">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①　幼稚園型一時預かり</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a:t>
          </a:r>
          <a:r>
            <a:rPr kumimoji="1" lang="en-US" altLang="ja-JP" sz="1000">
              <a:latin typeface="ＭＳ ゴシック" panose="020B0609070205080204" pitchFamily="49" charset="-128"/>
              <a:ea typeface="ＭＳ ゴシック" panose="020B0609070205080204" pitchFamily="49" charset="-128"/>
            </a:rPr>
            <a:t>20</a:t>
          </a:r>
          <a:r>
            <a:rPr kumimoji="1" lang="ja-JP" altLang="en-US" sz="1000">
              <a:latin typeface="ＭＳ ゴシック" panose="020B0609070205080204" pitchFamily="49" charset="-128"/>
              <a:ea typeface="ＭＳ ゴシック" panose="020B0609070205080204" pitchFamily="49" charset="-128"/>
            </a:rPr>
            <a:t>人</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月以上になった月から該当。ただし、</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月から適用になった場合のみ</a:t>
          </a:r>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月から認定。</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②　一般型一時預かり</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①と同様</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③　満</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歳児</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月初日時点</a:t>
          </a:r>
          <a:r>
            <a:rPr kumimoji="1" lang="ja-JP" altLang="en-US" sz="1000">
              <a:latin typeface="ＭＳ ゴシック" panose="020B0609070205080204" pitchFamily="49" charset="-128"/>
              <a:ea typeface="ＭＳ ゴシック" panose="020B0609070205080204" pitchFamily="49" charset="-128"/>
            </a:rPr>
            <a:t>で満</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歳児が</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人以上になった月を選択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④　障がい児</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a:t>
          </a:r>
          <a:r>
            <a:rPr kumimoji="1" lang="ja-JP" altLang="ja-JP" sz="1000">
              <a:solidFill>
                <a:srgbClr val="FF0000"/>
              </a:solidFill>
              <a:effectLst/>
              <a:latin typeface="ＭＳ ゴシック" panose="020B0609070205080204" pitchFamily="49" charset="-128"/>
              <a:ea typeface="ＭＳ ゴシック" panose="020B0609070205080204" pitchFamily="49" charset="-128"/>
              <a:cs typeface="+mn-cs"/>
            </a:rPr>
            <a:t>月初日時点</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で</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障がい児</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人以上になった月を選択</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⑤　小学校接続</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・小学校接続加算とほぼ同様の加算要件です。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・交流活動については、別紙</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をご覧ください。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つの要件に対しそれぞれ添付書類を提出していただく必要があります。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添付書類必要</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38100</xdr:colOff>
      <xdr:row>259</xdr:row>
      <xdr:rowOff>0</xdr:rowOff>
    </xdr:from>
    <xdr:to>
      <xdr:col>33</xdr:col>
      <xdr:colOff>4325470</xdr:colOff>
      <xdr:row>287</xdr:row>
      <xdr:rowOff>100853</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7490012" y="53396029"/>
          <a:ext cx="4287370" cy="9861177"/>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子育て支援活動費加算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の全ての要件を満たす場合加算</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：主幹教諭等専任加算の取得</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自動引用</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：地域の子育て支援活動の実施</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認定開始月は挙証書類の種類によって異なります</a:t>
          </a:r>
          <a:r>
            <a:rPr kumimoji="1" lang="ja-JP" altLang="en-US" sz="1000">
              <a:latin typeface="ＭＳ ゴシック" panose="020B0609070205080204" pitchFamily="49" charset="-128"/>
              <a:ea typeface="ＭＳ ゴシック" panose="020B0609070205080204" pitchFamily="49" charset="-128"/>
            </a:rPr>
            <a:t>。ご注意ください。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添付書類必要</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療育支援加算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の全ての要件を満たす場合加算</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：主幹教諭等専任加算の取得</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･･･自動引用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補助者の配置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で選択すること。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：障がい児相談等の取組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取組の詳細については添付書類の欄をご覧ください。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認定開始月は挙証書類の種類によって異なります</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。ご注意ください。</a:t>
          </a: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lang="en-US" altLang="ja-JP" sz="1000">
              <a:effectLst/>
              <a:latin typeface="ＭＳ ゴシック" panose="020B0609070205080204" pitchFamily="49" charset="-128"/>
              <a:ea typeface="ＭＳ ゴシック" panose="020B0609070205080204" pitchFamily="49" charset="-128"/>
            </a:rPr>
            <a:t>4</a:t>
          </a:r>
          <a:r>
            <a:rPr lang="ja-JP" altLang="en-US" sz="1000">
              <a:effectLst/>
              <a:latin typeface="ＭＳ ゴシック" panose="020B0609070205080204" pitchFamily="49" charset="-128"/>
              <a:ea typeface="ＭＳ ゴシック" panose="020B0609070205080204" pitchFamily="49" charset="-128"/>
            </a:rPr>
            <a:t>：月初日の障がい児数</a:t>
          </a:r>
          <a:endParaRPr lang="en-US" altLang="ja-JP" sz="1000">
            <a:effectLst/>
            <a:latin typeface="ＭＳ ゴシック" panose="020B0609070205080204" pitchFamily="49" charset="-128"/>
            <a:ea typeface="ＭＳ ゴシック" panose="020B0609070205080204" pitchFamily="49" charset="-128"/>
          </a:endParaRPr>
        </a:p>
        <a:p>
          <a:r>
            <a:rPr lang="ja-JP" altLang="en-US" sz="1000">
              <a:effectLst/>
              <a:latin typeface="ＭＳ ゴシック" panose="020B0609070205080204" pitchFamily="49" charset="-128"/>
              <a:ea typeface="ＭＳ ゴシック" panose="020B0609070205080204" pitchFamily="49" charset="-128"/>
            </a:rPr>
            <a:t>　①　特別児童扶養手当（中～重度の児童に支給される手当。保護者の申請が必要。）</a:t>
          </a:r>
          <a:endParaRPr lang="en-US" altLang="ja-JP" sz="1000">
            <a:effectLst/>
            <a:latin typeface="ＭＳ ゴシック" panose="020B0609070205080204" pitchFamily="49" charset="-128"/>
            <a:ea typeface="ＭＳ ゴシック" panose="020B0609070205080204" pitchFamily="49" charset="-128"/>
          </a:endParaRPr>
        </a:p>
        <a:p>
          <a:r>
            <a:rPr lang="ja-JP" altLang="en-US" sz="1000">
              <a:effectLst/>
              <a:latin typeface="ＭＳ ゴシック" panose="020B0609070205080204" pitchFamily="49" charset="-128"/>
              <a:ea typeface="ＭＳ ゴシック" panose="020B0609070205080204" pitchFamily="49" charset="-128"/>
            </a:rPr>
            <a:t>　②　①以外の障がい児</a:t>
          </a:r>
          <a:endParaRPr lang="en-US"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事務職員配置</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の全ての要件を満たす場合加算</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利用定員</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…91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人以上が対象</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職員配置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で</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加算対象職員を</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選択すること。</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以下の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パターン有。</a:t>
          </a:r>
          <a:endParaRPr lang="ja-JP" altLang="ja-JP" sz="1000">
            <a:effectLst/>
            <a:latin typeface="ＭＳ ゴシック" panose="020B0609070205080204" pitchFamily="49" charset="-128"/>
            <a:ea typeface="ＭＳ ゴシック" panose="020B0609070205080204" pitchFamily="49" charset="-128"/>
          </a:endParaRPr>
        </a:p>
        <a:p>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①　</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施設長（事務兼務）＆非常勤事務（加算対象）の計</a:t>
          </a:r>
          <a:r>
            <a:rPr lang="en-US" altLang="ja-JP" sz="800">
              <a:solidFill>
                <a:schemeClr val="dk1"/>
              </a:solidFill>
              <a:effectLst/>
              <a:latin typeface="ＭＳ ゴシック" panose="020B0609070205080204" pitchFamily="49" charset="-128"/>
              <a:ea typeface="ＭＳ ゴシック" panose="020B0609070205080204" pitchFamily="49" charset="-128"/>
              <a:cs typeface="+mn-cs"/>
            </a:rPr>
            <a:t>2</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名</a:t>
          </a:r>
          <a:endParaRPr lang="en-US" altLang="ja-JP" sz="8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②　</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常勤事務＆非常勤事務＆非常勤事務（加算対象）の計</a:t>
          </a:r>
          <a:r>
            <a:rPr lang="en-US" altLang="ja-JP" sz="800">
              <a:solidFill>
                <a:schemeClr val="dk1"/>
              </a:solidFill>
              <a:effectLst/>
              <a:latin typeface="ＭＳ ゴシック" panose="020B0609070205080204" pitchFamily="49" charset="-128"/>
              <a:ea typeface="ＭＳ ゴシック" panose="020B0609070205080204" pitchFamily="49" charset="-128"/>
              <a:cs typeface="+mn-cs"/>
            </a:rPr>
            <a:t>3</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名</a:t>
          </a:r>
          <a:endParaRPr lang="en-US" altLang="ja-JP" sz="8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8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（加算担当職員は事務専従である必要があります。）</a:t>
          </a:r>
          <a:endParaRPr lang="ja-JP" altLang="ja-JP" sz="1000">
            <a:effectLst/>
            <a:latin typeface="ＭＳ ゴシック" panose="020B0609070205080204" pitchFamily="49" charset="-128"/>
            <a:ea typeface="ＭＳ ゴシック" panose="020B0609070205080204" pitchFamily="49" charset="-128"/>
          </a:endParaRPr>
        </a:p>
        <a:p>
          <a:endParaRPr lang="ja-JP" altLang="ja-JP" sz="1000">
            <a:effectLst/>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28575</xdr:colOff>
      <xdr:row>292</xdr:row>
      <xdr:rowOff>1</xdr:rowOff>
    </xdr:from>
    <xdr:to>
      <xdr:col>33</xdr:col>
      <xdr:colOff>4291853</xdr:colOff>
      <xdr:row>329</xdr:row>
      <xdr:rowOff>161926</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7480487" y="64299354"/>
          <a:ext cx="4263278" cy="10112748"/>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指導充実加配加算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の全ての要件を満たす場合加算</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：利用定員</a:t>
          </a:r>
          <a:r>
            <a:rPr kumimoji="1" lang="en-US" altLang="ja-JP" sz="1000">
              <a:latin typeface="ＭＳ ゴシック" panose="020B0609070205080204" pitchFamily="49" charset="-128"/>
              <a:ea typeface="ＭＳ ゴシック" panose="020B0609070205080204" pitchFamily="49" charset="-128"/>
            </a:rPr>
            <a:t>…271</a:t>
          </a:r>
          <a:r>
            <a:rPr kumimoji="1" lang="ja-JP" altLang="en-US" sz="1000">
              <a:latin typeface="ＭＳ ゴシック" panose="020B0609070205080204" pitchFamily="49" charset="-128"/>
              <a:ea typeface="ＭＳ ゴシック" panose="020B0609070205080204" pitchFamily="49" charset="-128"/>
            </a:rPr>
            <a:t>人以上が対象</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：非常勤講師配置</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様式</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で選択。特別な科目を担当する等の要件はありません。</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：幼稚園教諭免許の保有の確認</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：教諭の発令の確認</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添付書類必要</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事務負担対応加配加算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の全ての要件を満たす場合加算</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利用定員</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…271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人以上が対象</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事務職員配置加算の取得</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自動引用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：非常勤事務を配置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で加算対象職員を選択すること。以下の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パターン有。</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①　施設長（事務兼務）＆非常勤事務</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＆非常勤事務（加算対象）</a:t>
          </a:r>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の計</a:t>
          </a:r>
          <a:r>
            <a:rPr lang="en-US" altLang="ja-JP" sz="800">
              <a:solidFill>
                <a:schemeClr val="dk1"/>
              </a:solidFill>
              <a:effectLst/>
              <a:latin typeface="ＭＳ ゴシック" panose="020B0609070205080204" pitchFamily="49" charset="-128"/>
              <a:ea typeface="ＭＳ ゴシック" panose="020B0609070205080204" pitchFamily="49" charset="-128"/>
              <a:cs typeface="+mn-cs"/>
            </a:rPr>
            <a:t>3</a:t>
          </a:r>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名</a:t>
          </a:r>
          <a:endParaRPr lang="ja-JP" altLang="ja-JP" sz="800">
            <a:effectLst/>
            <a:latin typeface="ＭＳ ゴシック" panose="020B0609070205080204" pitchFamily="49" charset="-128"/>
            <a:ea typeface="ＭＳ ゴシック" panose="020B0609070205080204" pitchFamily="49" charset="-128"/>
          </a:endParaRPr>
        </a:p>
        <a:p>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②　常勤事務＆非常勤事務＆非常勤事務</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＆非常勤事務（加算対象）</a:t>
          </a:r>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の計</a:t>
          </a:r>
          <a:r>
            <a:rPr lang="en-US" altLang="ja-JP" sz="800">
              <a:solidFill>
                <a:schemeClr val="dk1"/>
              </a:solidFill>
              <a:effectLst/>
              <a:latin typeface="ＭＳ ゴシック" panose="020B0609070205080204" pitchFamily="49" charset="-128"/>
              <a:ea typeface="ＭＳ ゴシック" panose="020B0609070205080204" pitchFamily="49" charset="-128"/>
              <a:cs typeface="+mn-cs"/>
            </a:rPr>
            <a:t>4</a:t>
          </a:r>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名</a:t>
          </a:r>
          <a:endParaRPr lang="en-US" altLang="ja-JP" sz="8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（加算担当職員は事務専従である必要があります。）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栄養管理加算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を全て記載する場合加算</a:t>
          </a: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：栄養士等の活用</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栄養士等を調理員として雇用し、調理員としてのみ活用している場合は該当しません。</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　認定開始月は挙証書類の種類によって異なります</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：栄養士等の配置</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①は様式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からの自動引用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なお、雇用契約等については、直接雇用もしくは派遣契約が想定され、外部委託は含みません。</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②は該当する場合選択</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いずれも該当する場合は一番単価の高い区分が選択されます。</a:t>
          </a:r>
        </a:p>
        <a:p>
          <a:endPar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p>
        <a:p>
          <a:endParaRPr lang="ja-JP" altLang="ja-JP" sz="1000">
            <a:effectLst/>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ja-JP" altLang="en-US" sz="1000">
              <a:latin typeface="ＭＳ ゴシック" panose="020B0609070205080204" pitchFamily="49" charset="-128"/>
              <a:ea typeface="ＭＳ ゴシック" panose="020B0609070205080204" pitchFamily="49" charset="-128"/>
            </a:rPr>
            <a:t>　</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63</xdr:col>
      <xdr:colOff>179294</xdr:colOff>
      <xdr:row>166</xdr:row>
      <xdr:rowOff>0</xdr:rowOff>
    </xdr:from>
    <xdr:to>
      <xdr:col>68</xdr:col>
      <xdr:colOff>417419</xdr:colOff>
      <xdr:row>172</xdr:row>
      <xdr:rowOff>1057275</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11486029" y="33595235"/>
          <a:ext cx="3655919" cy="232354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副食費徴収免除加算</a:t>
          </a:r>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補足</a:t>
          </a:r>
          <a:r>
            <a:rPr kumimoji="1" lang="en-US" altLang="ja-JP" sz="1000" b="1">
              <a:latin typeface="ＭＳ ゴシック" panose="020B0609070205080204" pitchFamily="49" charset="-128"/>
              <a:ea typeface="ＭＳ ゴシック" panose="020B0609070205080204" pitchFamily="49" charset="-128"/>
            </a:rPr>
            <a:t>)】</a:t>
          </a:r>
        </a:p>
        <a:p>
          <a:r>
            <a:rPr lang="ja-JP" altLang="en-US" sz="1100">
              <a:solidFill>
                <a:schemeClr val="dk1"/>
              </a:solidFill>
              <a:effectLst/>
              <a:latin typeface="+mn-lt"/>
              <a:ea typeface="+mn-ea"/>
              <a:cs typeface="+mn-cs"/>
            </a:rPr>
            <a:t>一時預かり児童のみ給食を提供している日は含みません。</a:t>
          </a:r>
          <a:r>
            <a:rPr lang="ja-JP" altLang="ja-JP" sz="1100">
              <a:solidFill>
                <a:schemeClr val="dk1"/>
              </a:solidFill>
              <a:effectLst/>
              <a:latin typeface="+mn-lt"/>
              <a:ea typeface="+mn-ea"/>
              <a:cs typeface="+mn-cs"/>
            </a:rPr>
            <a:t>　　　ただし、通常教育児童と預かり保育児童の両方に提供する日は含めることができます。</a:t>
          </a:r>
        </a:p>
        <a:p>
          <a:r>
            <a:rPr lang="ja-JP" altLang="ja-JP" sz="1100">
              <a:solidFill>
                <a:schemeClr val="dk1"/>
              </a:solidFill>
              <a:effectLst/>
              <a:latin typeface="+mn-lt"/>
              <a:ea typeface="+mn-ea"/>
              <a:cs typeface="+mn-cs"/>
            </a:rPr>
            <a:t>公定価格ＦＡＱ問</a:t>
          </a:r>
          <a:r>
            <a:rPr lang="en-US" altLang="ja-JP" sz="1100">
              <a:solidFill>
                <a:schemeClr val="dk1"/>
              </a:solidFill>
              <a:effectLst/>
              <a:latin typeface="+mn-lt"/>
              <a:ea typeface="+mn-ea"/>
              <a:cs typeface="+mn-cs"/>
            </a:rPr>
            <a:t>143</a:t>
          </a:r>
          <a:r>
            <a:rPr lang="ja-JP" altLang="ja-JP" sz="1100">
              <a:solidFill>
                <a:schemeClr val="dk1"/>
              </a:solidFill>
              <a:effectLst/>
              <a:latin typeface="+mn-lt"/>
              <a:ea typeface="+mn-ea"/>
              <a:cs typeface="+mn-cs"/>
            </a:rPr>
            <a:t>に取り扱いが記載されています。</a:t>
          </a:r>
        </a:p>
        <a:p>
          <a:r>
            <a:rPr lang="ja-JP" altLang="ja-JP" sz="1100">
              <a:solidFill>
                <a:schemeClr val="dk1"/>
              </a:solidFill>
              <a:effectLst/>
              <a:latin typeface="+mn-lt"/>
              <a:ea typeface="+mn-ea"/>
              <a:cs typeface="+mn-cs"/>
            </a:rPr>
            <a:t>↓公定価格ＦＡＱの在りか</a:t>
          </a:r>
        </a:p>
        <a:p>
          <a:r>
            <a:rPr lang="en-US" altLang="ja-JP" sz="1100" u="sng">
              <a:solidFill>
                <a:schemeClr val="dk1"/>
              </a:solidFill>
              <a:effectLst/>
              <a:latin typeface="+mn-lt"/>
              <a:ea typeface="+mn-ea"/>
              <a:cs typeface="+mn-cs"/>
              <a:hlinkClick xmlns:r="http://schemas.openxmlformats.org/officeDocument/2006/relationships" r:id=""/>
            </a:rPr>
            <a:t>https://www8.cao.go.jp/shoushi/shinseido/administer/qa/index.html</a:t>
          </a:r>
          <a:endParaRPr lang="ja-JP" altLang="ja-JP" sz="1100">
            <a:solidFill>
              <a:schemeClr val="dk1"/>
            </a:solidFill>
            <a:effectLst/>
            <a:latin typeface="+mn-lt"/>
            <a:ea typeface="+mn-ea"/>
            <a:cs typeface="+mn-cs"/>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0</xdr:colOff>
      <xdr:row>0</xdr:row>
      <xdr:rowOff>95250</xdr:rowOff>
    </xdr:from>
    <xdr:to>
      <xdr:col>21</xdr:col>
      <xdr:colOff>135953</xdr:colOff>
      <xdr:row>6</xdr:row>
      <xdr:rowOff>57150</xdr:rowOff>
    </xdr:to>
    <xdr:sp macro="" textlink="">
      <xdr:nvSpPr>
        <xdr:cNvPr id="2" name="テキスト ボックス 1">
          <a:extLst>
            <a:ext uri="{FF2B5EF4-FFF2-40B4-BE49-F238E27FC236}">
              <a16:creationId xmlns:a16="http://schemas.microsoft.com/office/drawing/2014/main" id="{CD135CCB-3DAF-4CBB-A25B-2ED225F84140}"/>
            </a:ext>
          </a:extLst>
        </xdr:cNvPr>
        <xdr:cNvSpPr txBox="1"/>
      </xdr:nvSpPr>
      <xdr:spPr>
        <a:xfrm>
          <a:off x="0" y="95250"/>
          <a:ext cx="4736528" cy="1104900"/>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38100</xdr:colOff>
      <xdr:row>0</xdr:row>
      <xdr:rowOff>123825</xdr:rowOff>
    </xdr:from>
    <xdr:to>
      <xdr:col>9</xdr:col>
      <xdr:colOff>3781424</xdr:colOff>
      <xdr:row>6</xdr:row>
      <xdr:rowOff>161925</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8763000" y="123825"/>
          <a:ext cx="3743324" cy="118110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9</xdr:col>
      <xdr:colOff>85725</xdr:colOff>
      <xdr:row>7</xdr:row>
      <xdr:rowOff>66675</xdr:rowOff>
    </xdr:from>
    <xdr:to>
      <xdr:col>9</xdr:col>
      <xdr:colOff>3752850</xdr:colOff>
      <xdr:row>25</xdr:row>
      <xdr:rowOff>28575</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8810625" y="1590675"/>
          <a:ext cx="3667125" cy="33909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基本情報</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加算担当職員の情報を入力</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学歴</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高等学校～現在に係る学歴を入力</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職歴</a:t>
          </a:r>
          <a:r>
            <a:rPr kumimoji="1" lang="en-US" altLang="ja-JP" sz="1000" b="1">
              <a:latin typeface="ＭＳ ゴシック" panose="020B0609070205080204" pitchFamily="49" charset="-128"/>
              <a:ea typeface="ＭＳ ゴシック" panose="020B0609070205080204" pitchFamily="49" charset="-128"/>
            </a:rPr>
            <a:t>】</a:t>
          </a: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加算申請時点までの経歴をすること。</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また、必ず現在の施設で施設長に就任した年月を記載すること。</a:t>
          </a:r>
          <a:endParaRPr lang="ja-JP" altLang="ja-JP" sz="1000">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資格</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加算申請時点で有効な資格を記載すること。</a:t>
          </a:r>
          <a:endParaRPr lang="ja-JP" altLang="ja-JP" sz="1000">
            <a:effectLst/>
            <a:latin typeface="ＭＳ ゴシック" panose="020B0609070205080204" pitchFamily="49" charset="-128"/>
            <a:ea typeface="ＭＳ ゴシック" panose="020B0609070205080204" pitchFamily="49" charset="-128"/>
          </a:endParaRPr>
        </a:p>
        <a:p>
          <a:endParaRPr kumimoji="1" lang="en-US" altLang="ja-JP" sz="1100" b="1">
            <a:solidFill>
              <a:schemeClr val="dk1"/>
            </a:solidFill>
            <a:effectLst/>
            <a:latin typeface="+mn-lt"/>
            <a:ea typeface="+mn-ea"/>
            <a:cs typeface="+mn-cs"/>
          </a:endParaRPr>
        </a:p>
        <a:p>
          <a:pPr algn="l"/>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66675</xdr:colOff>
      <xdr:row>52</xdr:row>
      <xdr:rowOff>28575</xdr:rowOff>
    </xdr:from>
    <xdr:to>
      <xdr:col>9</xdr:col>
      <xdr:colOff>3733800</xdr:colOff>
      <xdr:row>69</xdr:row>
      <xdr:rowOff>180975</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8791575" y="10125075"/>
          <a:ext cx="3667125" cy="33909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施設名</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同一又は系列法人内で運営する保育・教育施設の全てを記載</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なお、認可の有無は問いませんのでご注意ください。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本務・兼務</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本務・兼務の状況を記載</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施設長名</a:t>
          </a:r>
          <a:r>
            <a:rPr kumimoji="1" lang="en-US" altLang="ja-JP" sz="1000" b="1">
              <a:latin typeface="ＭＳ ゴシック" panose="020B0609070205080204" pitchFamily="49" charset="-128"/>
              <a:ea typeface="ＭＳ ゴシック" panose="020B0609070205080204" pitchFamily="49" charset="-128"/>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施設長名を記載</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施設で作成している資料</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同様の内容を記載</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を代わりに提出していただくことも可能です。</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95248</xdr:colOff>
      <xdr:row>0</xdr:row>
      <xdr:rowOff>232833</xdr:rowOff>
    </xdr:from>
    <xdr:to>
      <xdr:col>20</xdr:col>
      <xdr:colOff>398988</xdr:colOff>
      <xdr:row>6</xdr:row>
      <xdr:rowOff>222250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71165" y="232833"/>
          <a:ext cx="3743323" cy="227541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15</xdr:col>
      <xdr:colOff>84665</xdr:colOff>
      <xdr:row>6</xdr:row>
      <xdr:rowOff>313267</xdr:rowOff>
    </xdr:from>
    <xdr:to>
      <xdr:col>20</xdr:col>
      <xdr:colOff>381000</xdr:colOff>
      <xdr:row>23</xdr:row>
      <xdr:rowOff>52917</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0593915" y="2218267"/>
          <a:ext cx="3735918" cy="51371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利用期間</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バス運行を開始した月日及び終了する月日を入力してください。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利用児童数</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1">
              <a:latin typeface="ＭＳ ゴシック" panose="020B0609070205080204" pitchFamily="49" charset="-128"/>
              <a:ea typeface="ＭＳ ゴシック" panose="020B0609070205080204" pitchFamily="49" charset="-128"/>
            </a:rPr>
            <a:t>・延べ人数</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バスを利用した月当たりの延べ利用数を記載してください。延べ利用数のため、例えば、</a:t>
          </a:r>
          <a:r>
            <a:rPr kumimoji="1" lang="en-US" altLang="ja-JP" sz="1000">
              <a:latin typeface="ＭＳ ゴシック" panose="020B0609070205080204" pitchFamily="49" charset="-128"/>
              <a:ea typeface="ＭＳ ゴシック" panose="020B0609070205080204" pitchFamily="49" charset="-128"/>
            </a:rPr>
            <a:t>A</a:t>
          </a:r>
          <a:r>
            <a:rPr kumimoji="1" lang="ja-JP" altLang="en-US" sz="1000">
              <a:latin typeface="ＭＳ ゴシック" panose="020B0609070205080204" pitchFamily="49" charset="-128"/>
              <a:ea typeface="ＭＳ ゴシック" panose="020B0609070205080204" pitchFamily="49" charset="-128"/>
            </a:rPr>
            <a:t>さんが月</a:t>
          </a:r>
          <a:r>
            <a:rPr kumimoji="1" lang="en-US" altLang="ja-JP" sz="1000">
              <a:latin typeface="ＭＳ ゴシック" panose="020B0609070205080204" pitchFamily="49" charset="-128"/>
              <a:ea typeface="ＭＳ ゴシック" panose="020B0609070205080204" pitchFamily="49" charset="-128"/>
            </a:rPr>
            <a:t>20</a:t>
          </a:r>
          <a:r>
            <a:rPr kumimoji="1" lang="ja-JP" altLang="en-US" sz="1000">
              <a:latin typeface="ＭＳ ゴシック" panose="020B0609070205080204" pitchFamily="49" charset="-128"/>
              <a:ea typeface="ＭＳ ゴシック" panose="020B0609070205080204" pitchFamily="49" charset="-128"/>
            </a:rPr>
            <a:t>日バスを利用した場合は延べ利用数</a:t>
          </a:r>
          <a:r>
            <a:rPr kumimoji="1" lang="en-US" altLang="ja-JP" sz="1000">
              <a:latin typeface="ＭＳ ゴシック" panose="020B0609070205080204" pitchFamily="49" charset="-128"/>
              <a:ea typeface="ＭＳ ゴシック" panose="020B0609070205080204" pitchFamily="49" charset="-128"/>
            </a:rPr>
            <a:t>20</a:t>
          </a:r>
          <a:r>
            <a:rPr kumimoji="1" lang="ja-JP" altLang="en-US" sz="1000">
              <a:latin typeface="ＭＳ ゴシック" panose="020B0609070205080204" pitchFamily="49" charset="-128"/>
              <a:ea typeface="ＭＳ ゴシック" panose="020B0609070205080204" pitchFamily="49" charset="-128"/>
            </a:rPr>
            <a:t>人とカウントします。　</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36</xdr:col>
      <xdr:colOff>74081</xdr:colOff>
      <xdr:row>0</xdr:row>
      <xdr:rowOff>10583</xdr:rowOff>
    </xdr:from>
    <xdr:to>
      <xdr:col>36</xdr:col>
      <xdr:colOff>3817405</xdr:colOff>
      <xdr:row>9</xdr:row>
      <xdr:rowOff>116417</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16609481" y="10583"/>
          <a:ext cx="3743324" cy="1058334"/>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36</xdr:col>
      <xdr:colOff>95250</xdr:colOff>
      <xdr:row>11</xdr:row>
      <xdr:rowOff>66674</xdr:rowOff>
    </xdr:from>
    <xdr:to>
      <xdr:col>36</xdr:col>
      <xdr:colOff>3530600</xdr:colOff>
      <xdr:row>74</xdr:row>
      <xdr:rowOff>21166</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3906500" y="1654174"/>
          <a:ext cx="3435350" cy="959590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修業日</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１号認定児童の通常教育提供日（修業日）にドロップダウンから「○」を入力してください。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ただし、土曜、日曜、祝日に当たる日は入力してもカウントされません。</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給食日</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修業日のうち、通常教育を行っている児童に対し給食を提供する日に</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ドロップダウンから「○」を入力してください。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ただし、土曜、日曜、祝日に当たる日は入力してもカウントされません。</a:t>
          </a:r>
          <a:r>
            <a:rPr kumimoji="1" lang="ja-JP" altLang="en-US" sz="1000">
              <a:latin typeface="ＭＳ ゴシック" panose="020B0609070205080204" pitchFamily="49" charset="-128"/>
              <a:ea typeface="ＭＳ ゴシック" panose="020B0609070205080204" pitchFamily="49" charset="-128"/>
            </a:rPr>
            <a:t>また、修業日に「○」がついていない日もカウントされません。</a:t>
          </a:r>
          <a:endParaRPr kumimoji="1" lang="en-US" altLang="ja-JP" sz="10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latin typeface="ＭＳ ゴシック" panose="020B0609070205080204" pitchFamily="49" charset="-128"/>
              <a:ea typeface="ＭＳ ゴシック" panose="020B0609070205080204" pitchFamily="49" charset="-128"/>
            </a:rPr>
            <a:t>　なお、以下の例のように通常教育を行っている児童に給食を提供しない給食日は「○」を入れないでください。</a:t>
          </a:r>
          <a:endParaRPr kumimoji="1" lang="en-US" altLang="ja-JP" sz="10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latin typeface="ＭＳ ゴシック" panose="020B0609070205080204" pitchFamily="49" charset="-128"/>
              <a:ea typeface="ＭＳ ゴシック" panose="020B0609070205080204" pitchFamily="49" charset="-128"/>
            </a:rPr>
            <a:t>例）一時預かり児童にのみ給食を提供する</a:t>
          </a:r>
          <a:endParaRPr kumimoji="1" lang="en-US" altLang="ja-JP" sz="10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latin typeface="ＭＳ ゴシック" panose="020B0609070205080204" pitchFamily="49" charset="-128"/>
              <a:ea typeface="ＭＳ ゴシック" panose="020B0609070205080204" pitchFamily="49" charset="-128"/>
            </a:rPr>
            <a:t>　　・　通常利用児童</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午前のみで、給食は食べないで帰る</a:t>
          </a:r>
          <a:endParaRPr kumimoji="1" lang="en-US" altLang="ja-JP" sz="10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latin typeface="ＭＳ ゴシック" panose="020B0609070205080204" pitchFamily="49" charset="-128"/>
              <a:ea typeface="ＭＳ ゴシック" panose="020B0609070205080204" pitchFamily="49" charset="-128"/>
            </a:rPr>
            <a:t>　　・　一時預かり</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給食を食べる</a:t>
          </a:r>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副食日</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給食</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日のうち、通常教育を行っている児童に対し</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完全な副食</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を提供する日にドロップダウンから「○」を入力してください。</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ただし、土曜、日曜、祝日に当たる日は入力してもカウントされません。また、</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給食</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日に「○」がついていない日もカウントされません。</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また、副食日数については「利用こどものすべてに副食を提供する日」を入れていただくこととなりますので、以下を参考にしてください。</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&lt;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参入できないもの</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&gt;</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牛乳やおやつのみの提供</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夏休み・冬休み・春休み等の長期休暇期間</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&lt;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確認が必要なもの</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&gt;</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希望する者に給食を提供する日がある</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　希望するこども全員に提供する体制があれば可能。「●食限定」とするなど、一部児童にのみ提供とみなされる体制は不可。</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歳児ごとに実施日数や体制が異なる</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　全ての歳児で提供されていることが必要です。このため、４～５歳児は２０日、３歳児は１５日のように実施日数が場合は、３～５歳で共通する日数を数えます。</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また、４～５歳児は給食、３歳児は弁当とする場合は原則副食提供日として認められませんが、３歳児のみ希望する者に給食提供としている場合は、４～５歳児の給食日と３歳児の希望給食日が重複する日数を数えます。</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&lt;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参入できるもの</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&gt;</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ある歳児が遠足等の行事で給食を一部提供できない日</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　例えば、３～４歳は給食を提供しているが、５歳児のみ遠足で給食を提供できない日がある場合は副食提供日として認定できます。</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上記条件等により、給食実施加算の給食日と一致しない可能性があります。通常は副食徴収免除加算の副食提供日の方が要件が厳しいため、給食実施加算の給食実施日数より少なくなることがあります。</a:t>
          </a:r>
          <a:endParaRPr lang="ja-JP" altLang="ja-JP" sz="1000">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128510</xdr:colOff>
      <xdr:row>0</xdr:row>
      <xdr:rowOff>244928</xdr:rowOff>
    </xdr:from>
    <xdr:to>
      <xdr:col>16</xdr:col>
      <xdr:colOff>3871834</xdr:colOff>
      <xdr:row>7</xdr:row>
      <xdr:rowOff>119441</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9490224" y="244928"/>
          <a:ext cx="3743324" cy="244626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16</xdr:col>
      <xdr:colOff>100053</xdr:colOff>
      <xdr:row>8</xdr:row>
      <xdr:rowOff>178493</xdr:rowOff>
    </xdr:from>
    <xdr:to>
      <xdr:col>16</xdr:col>
      <xdr:colOff>3882837</xdr:colOff>
      <xdr:row>39</xdr:row>
      <xdr:rowOff>164886</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9423347" y="2509317"/>
          <a:ext cx="3782784" cy="9018334"/>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　別紙</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1</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減算を解除する場合に作成してください。なお、事前に子ども未来局の担当部署</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施設運営課等</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に協議が必要です。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日付</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b="1">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個票に記載した協議年月日と申出書提出日は一致します。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申出者</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原則は加算適用申請書と一致します。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施設名</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から引用</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見直した区分</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b="1">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個票より引用。</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定員</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定員を見直した場合は「見直し後」と「見直しした月」を記載してください。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見直し前は様式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からの引用です。修正する場合のみ上書きしてください。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利用初日児童数（予定）</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当該年度の受入れ児童数を記載してください。なお、市外児童も含みます。</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入力した予定児童数の年間在所率が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％以上の場合は、不適切な計画とみなし減算解除を認めません。</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また、原則は定員の範囲内での利用が望ましいため、</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％を超過しない場合でも、継続的に利用児童数が定員を超過している場合も不適切な計画とみなす場合があります。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2022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年度以降は、上記条件に加え見直した月から</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か月間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見直し月が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月の場合は</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か月間、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月の場合は</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か月間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の平均在所率が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115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％未満である必要があります。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16</xdr:col>
      <xdr:colOff>95250</xdr:colOff>
      <xdr:row>42</xdr:row>
      <xdr:rowOff>40821</xdr:rowOff>
    </xdr:from>
    <xdr:to>
      <xdr:col>16</xdr:col>
      <xdr:colOff>3878034</xdr:colOff>
      <xdr:row>71</xdr:row>
      <xdr:rowOff>27214</xdr:rowOff>
    </xdr:to>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9456964" y="12328071"/>
          <a:ext cx="3782784" cy="8558893"/>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　別紙</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2</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減算解除を行っていた施設のみ、</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月加算と併せて当該様式を作成してください。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当該実績報告により減算解除要件を満たさないと判明した場合は以下の取扱いとなります</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①</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年間平均在所率が</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以上だが、年度途中で定員超過を解消した場合</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→年度当初～定員超過を解消した前月まで遡って減算適用</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②</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年間平均在所率が</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％以上、かつ年度を通して定員超過であった場合</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→年度当初にさかのぼって減算を適用</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日付</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月</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日で固定。</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申出者</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原則は加算適用申請書と一致します。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施設名</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から引用</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見直した区分</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個票より引用。従前に提出した様式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と一致させてください。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定員</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定員を見直した場合は「見直し後」と「見直しした月」を記載してください。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見直し前は様式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からの引用です。修正する場合のみ上書きしてください。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利用初日児童数（実績）</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当該年度の受入れ児童数を実績値で記載してください。なお、市外児童も含みます。</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入力した実績値に応じて、減算解除継続、遡及減算適用のいずれかが適用されます。</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84486</xdr:colOff>
      <xdr:row>0</xdr:row>
      <xdr:rowOff>56030</xdr:rowOff>
    </xdr:from>
    <xdr:to>
      <xdr:col>12</xdr:col>
      <xdr:colOff>3827810</xdr:colOff>
      <xdr:row>10</xdr:row>
      <xdr:rowOff>36999</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7782927" y="56030"/>
          <a:ext cx="3743324" cy="244626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12</xdr:col>
      <xdr:colOff>78441</xdr:colOff>
      <xdr:row>11</xdr:row>
      <xdr:rowOff>79242</xdr:rowOff>
    </xdr:from>
    <xdr:to>
      <xdr:col>12</xdr:col>
      <xdr:colOff>3861225</xdr:colOff>
      <xdr:row>36</xdr:row>
      <xdr:rowOff>145676</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7776882" y="2791066"/>
          <a:ext cx="3782784" cy="622966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000" b="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計画書作成日</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　作成した日にちが</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日の場合は当該月、</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日以降の場合は翌月からの該当となります。</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1">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当該計画書作成者</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　役職及び氏名を記載してください。通常は小学校連携・接続担当と一致します。</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1">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交流先</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小学校側の情報を記載してください。また、交流先への事前相談は必須要件です。事前相談の無い計画は無効となりますのでご注意ください。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交流予定年月日</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年度内が条件です。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行事名</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交流行事名を記載してください。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行事内容</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行事・交流内容を簡単に記載してください。別紙を参照する場合は、「別紙参照」と記載のうえ別紙を添付してください。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教職員と子どもの両方の交流が要件です。教職員のみの交流などは対象外となります。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・交流は年</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回以上が要件です。</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回以上実施している場合は</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回分を記載してください。また、</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回の交流にとどまる場合は対象外です。</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・小学校接続加算と異なり、計画のみでの加算認定となっており、実績報告を求めません。</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67236</xdr:colOff>
      <xdr:row>0</xdr:row>
      <xdr:rowOff>59764</xdr:rowOff>
    </xdr:from>
    <xdr:to>
      <xdr:col>10</xdr:col>
      <xdr:colOff>4571999</xdr:colOff>
      <xdr:row>11</xdr:row>
      <xdr:rowOff>186765</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11172265" y="59764"/>
          <a:ext cx="4504763" cy="2222501"/>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10</xdr:col>
      <xdr:colOff>67236</xdr:colOff>
      <xdr:row>13</xdr:row>
      <xdr:rowOff>56029</xdr:rowOff>
    </xdr:from>
    <xdr:to>
      <xdr:col>10</xdr:col>
      <xdr:colOff>4583207</xdr:colOff>
      <xdr:row>75</xdr:row>
      <xdr:rowOff>56028</xdr:rowOff>
    </xdr:to>
    <xdr:sp macro="" textlink="">
      <xdr:nvSpPr>
        <xdr:cNvPr id="5" name="正方形/長方形 4">
          <a:extLst>
            <a:ext uri="{FF2B5EF4-FFF2-40B4-BE49-F238E27FC236}">
              <a16:creationId xmlns:a16="http://schemas.microsoft.com/office/drawing/2014/main" id="{00000000-0008-0000-0A00-000005000000}"/>
            </a:ext>
          </a:extLst>
        </xdr:cNvPr>
        <xdr:cNvSpPr/>
      </xdr:nvSpPr>
      <xdr:spPr>
        <a:xfrm>
          <a:off x="11172265" y="2532529"/>
          <a:ext cx="4515971" cy="1219199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常勤換算</a:t>
          </a:r>
          <a:r>
            <a:rPr kumimoji="1" lang="en-US" altLang="ja-JP" sz="1000" b="1">
              <a:latin typeface="ＭＳ ゴシック" panose="020B0609070205080204" pitchFamily="49" charset="-128"/>
              <a:ea typeface="ＭＳ ゴシック" panose="020B0609070205080204" pitchFamily="49" charset="-128"/>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・下記の職員名簿に記載した教員</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保育士</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の配置状況の内訳を記載しています。人数に誤りがある場合は職員名簿に記入漏れ等が無いかをご確認ください。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就業規則等で定める所定労働時間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月を記入してください。</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入力が漏れると常勤換算数が計算されません</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常勤換算数</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常勤換算数を算出します。また、当該数値が様式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に引用されます。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職員名簿</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　初日時点の事務職員等を含む全ての職員について記入してください。月途中で採用した職員は常勤・非常勤にかかわらず記載しないでください。</a:t>
          </a:r>
          <a:endPar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　なお、業務委託と雇用職員（派遣含む）を分けて記載してください。業務委託については、教諭（発令有）のみ常勤換算数に含まれます。 </a:t>
          </a: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①　職員氏名</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職員氏名を誤りなく記載。業務委託の場合は会社名を記載。</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②　職員状況</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・職種区分</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施設長、副園長・教頭、教諭（発令有）、教諭（発令無）、栄養士等、調理員、事務員、学校医、その他から選択。業務委託の場合は選択不要。</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・初日時点の給与状況</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有給・有給（他法活用）・無給を選択</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rgbClr val="0070C0"/>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rgbClr val="0070C0"/>
              </a:solidFill>
              <a:effectLst/>
              <a:latin typeface="ＭＳ ゴシック" panose="020B0609070205080204" pitchFamily="49" charset="-128"/>
              <a:ea typeface="ＭＳ ゴシック" panose="020B0609070205080204" pitchFamily="49" charset="-128"/>
              <a:cs typeface="+mn-cs"/>
            </a:rPr>
            <a:t>　有給（他法活用）</a:t>
          </a:r>
          <a:endParaRPr kumimoji="1" lang="en-US" altLang="ja-JP" sz="1000">
            <a:solidFill>
              <a:srgbClr val="0070C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rgbClr val="0070C0"/>
              </a:solidFill>
              <a:effectLst/>
              <a:latin typeface="ＭＳ ゴシック" panose="020B0609070205080204" pitchFamily="49" charset="-128"/>
              <a:ea typeface="ＭＳ ゴシック" panose="020B0609070205080204" pitchFamily="49" charset="-128"/>
              <a:cs typeface="+mn-cs"/>
            </a:rPr>
            <a:t>　</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傷病手当金や特定求職者雇用開発助成金など、他制度を用いて職員給与を支払っている場合が該当します。</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rgbClr val="0070C0"/>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rgbClr val="0070C0"/>
              </a:solidFill>
              <a:effectLst/>
              <a:latin typeface="ＭＳ ゴシック" panose="020B0609070205080204" pitchFamily="49" charset="-128"/>
              <a:ea typeface="ＭＳ ゴシック" panose="020B0609070205080204" pitchFamily="49" charset="-128"/>
              <a:cs typeface="+mn-cs"/>
            </a:rPr>
            <a:t>　代替（助成金等対象）</a:t>
          </a:r>
          <a:endParaRPr kumimoji="1" lang="en-US" altLang="ja-JP" sz="1000">
            <a:solidFill>
              <a:srgbClr val="0070C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　小学校休校等助成金等による代替職員となります。これらの職員は助成金で措置される職員となるため、給付費を算出する職員配置には含まれません。</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　＜代替職員雇用に充てられる助成金の取扱い＞</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・休職職員（有給）：「有給」を選択。職員配置に含む</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・代替職員（有給）：「代替」を選択。職員配置に含まない　</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③　雇用形態</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・常勤、非常勤</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常勤、非常勤から選択。ただし、常勤だが他職種と兼務又は時短勤務職員は非常勤を選択。</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・契約形態</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常勤</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正職、臨職、嘱託契約、派遣契約から選択</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非常勤</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常勤－時短</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兼務、雇用契約、派遣契約、嘱託契約から選択。なお、パート職員は非常勤➡雇用契約です。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・非常勤の勤務時間</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業務委託の場合は直接入力、雇用職員の場合は様式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で入力。なお、入力は月当たりの予定時間数（単位は時間）とし、十進数で入力すること。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例：</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分➡</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20.5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⑤　雇用開始日</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雇用開始日を記載。記載は西暦で「○○年△月□日」の場合は「○○</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」。また、雇用開始日の下にある日付以前の方のみが入力可能。</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⑥　算入判定</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入力漏れ等があると「エラー」と表示されるため見直すこと。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000" b="1" i="0" u="none" strike="noStrike">
              <a:solidFill>
                <a:srgbClr val="FF0000"/>
              </a:solidFill>
              <a:effectLst/>
              <a:latin typeface="ＭＳ ゴシック" panose="020B0609070205080204" pitchFamily="49" charset="-128"/>
              <a:ea typeface="ＭＳ ゴシック" panose="020B0609070205080204" pitchFamily="49" charset="-128"/>
              <a:cs typeface="+mn-cs"/>
            </a:rPr>
            <a:t>＜注意＞</a:t>
          </a:r>
          <a:endParaRPr lang="en-US" altLang="ja-JP" sz="1000" b="1" i="0" u="none" strike="noStrike">
            <a:solidFill>
              <a:srgbClr val="FF0000"/>
            </a:solidFill>
            <a:effectLst/>
            <a:latin typeface="ＭＳ ゴシック" panose="020B0609070205080204" pitchFamily="49" charset="-128"/>
            <a:ea typeface="ＭＳ ゴシック" panose="020B0609070205080204" pitchFamily="49" charset="-128"/>
            <a:cs typeface="+mn-cs"/>
          </a:endParaRP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・勤務時間数は超過勤務時間を含みません。</a:t>
          </a:r>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原則「コピー＆ペースト」は行わないでください。</a:t>
          </a:r>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行う場合は貼付け時に「値のみ貼り付け」としてください。</a:t>
          </a:r>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・教諭の「発令有」と「発令無」について</a:t>
          </a:r>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　雇用契約又は発令等で「教諭」と定めているもの➡発令有</a:t>
          </a:r>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　それ以外（教諭免許を持っている事務員を雇用した等）➡発令無</a:t>
          </a:r>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　教諭（発令無）は教諭ではなく補助者扱いとなります。</a:t>
          </a:r>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・委託・派遣の場合は、勤務（予定）時間のわかる挙証書類を別途添付してください。</a:t>
          </a: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例</a:t>
          </a:r>
          <a:r>
            <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1</a:t>
          </a:r>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）月当たりに勤務時間が記載された契約書の写し</a:t>
          </a: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例</a:t>
          </a:r>
          <a:r>
            <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2</a:t>
          </a:r>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）派遣予定シフト表</a:t>
          </a:r>
        </a:p>
        <a:p>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0</xdr:colOff>
      <xdr:row>1</xdr:row>
      <xdr:rowOff>0</xdr:rowOff>
    </xdr:from>
    <xdr:to>
      <xdr:col>4</xdr:col>
      <xdr:colOff>589690</xdr:colOff>
      <xdr:row>6</xdr:row>
      <xdr:rowOff>152400</xdr:rowOff>
    </xdr:to>
    <xdr:sp macro="" textlink="">
      <xdr:nvSpPr>
        <xdr:cNvPr id="2" name="テキスト ボックス 1">
          <a:extLst>
            <a:ext uri="{FF2B5EF4-FFF2-40B4-BE49-F238E27FC236}">
              <a16:creationId xmlns:a16="http://schemas.microsoft.com/office/drawing/2014/main" id="{375924E3-A8DB-454E-957A-F532B3B2097A}"/>
            </a:ext>
          </a:extLst>
        </xdr:cNvPr>
        <xdr:cNvSpPr txBox="1"/>
      </xdr:nvSpPr>
      <xdr:spPr>
        <a:xfrm>
          <a:off x="0" y="190500"/>
          <a:ext cx="4580665" cy="1104900"/>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43&#32102;&#20184;&#20418;/02&#65306;&#32102;&#20184;&#36027;&#65288;&#21033;&#29992;&#32773;&#36000;&#25285;&#38989;&#65289;/01&#65306;&#21152;&#31639;&#30003;&#35531;&#38306;&#20418;/01&#65306;&#20966;&#36935;&#25913;&#21892;&#31561;&#21152;&#31639;&#20197;&#22806;/01&#65306;&#27096;&#24335;/2022(R4)/02&#65306;&#20445;&#32946;&#25152;/&#12304;&#20445;&#32946;&#25152;&#12305;2022&#21152;&#31639;&#35519;&#25972;&#38917;&#30446;&#30003;&#35531;&#26360;&#65288;&#9675;&#26376;&#20998;&#65289;Ver1.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3&#32102;&#20184;&#20418;/02&#65306;&#32102;&#20184;&#36027;&#65288;&#21033;&#29992;&#32773;&#36000;&#25285;&#38989;&#65289;/01&#65306;&#21152;&#31639;&#30003;&#35531;&#38306;&#20418;/01&#65306;&#20966;&#36935;&#25913;&#21892;&#31561;&#21152;&#31639;&#20197;&#22806;/01&#65306;&#27096;&#24335;/2022(R4)/02&#65306;&#20445;&#32946;&#25152;/&#12304;&#20445;&#32946;&#25152;&#12305;2021&#21152;&#31639;&#35519;&#25972;&#38917;&#30446;&#30003;&#35531;&#26360;&#65288;&#9675;&#26376;&#20998;&#65289;Ver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施設状況(要更新)"/>
      <sheetName val="チーム保育単価(要更新)"/>
      <sheetName val="休日情報(要更新)"/>
      <sheetName val="作成方法"/>
      <sheetName val="【別添】添付書類の表紙"/>
      <sheetName val="【様式１】総括表・個票"/>
      <sheetName val="(別紙１)施設長設置"/>
      <sheetName val="(別紙2)土曜閉所"/>
      <sheetName val="(別紙3)休日"/>
      <sheetName val="(別紙6)定員超過"/>
      <sheetName val="【様式2】職員名簿"/>
      <sheetName val="【様式３】シフト表"/>
      <sheetName val="【様式4】クラス編成表"/>
      <sheetName val="【様式５】職員数算出表"/>
      <sheetName val="【様式6】加算確認表"/>
      <sheetName val="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施設状況(要更新)"/>
      <sheetName val="チーム保育単価(要更新)"/>
      <sheetName val="休日情報(要更新)"/>
      <sheetName val="作成方法"/>
      <sheetName val="【別添】添付書類の表紙"/>
      <sheetName val="【様式１】総括表・個票"/>
      <sheetName val="(別紙１)施設長設置"/>
      <sheetName val="(別紙2)土曜閉所"/>
      <sheetName val="(別紙3)休日"/>
      <sheetName val="(別紙6)定員超過"/>
      <sheetName val="【様式2】職員名簿"/>
      <sheetName val="【様式３】シフト表"/>
      <sheetName val="【様式4】クラス編成表"/>
      <sheetName val="【様式５】職員数算出表"/>
      <sheetName val="【様式6】加算確認表"/>
      <sheetName val="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3:R601" totalsRowShown="0" headerRowDxfId="100" dataDxfId="99" tableBorderDxfId="98">
  <autoFilter ref="A3:R601" xr:uid="{00000000-0009-0000-0100-000001000000}"/>
  <sortState xmlns:xlrd2="http://schemas.microsoft.com/office/spreadsheetml/2017/richdata2" ref="A4:R601">
    <sortCondition ref="C3:C601"/>
  </sortState>
  <tableColumns count="18">
    <tableColumn id="1" xr3:uid="{00000000-0010-0000-0000-000001000000}" name="ソート①" dataDxfId="97"/>
    <tableColumn id="2" xr3:uid="{00000000-0010-0000-0000-000002000000}" name="列1" dataDxfId="96"/>
    <tableColumn id="3" xr3:uid="{00000000-0010-0000-0000-000003000000}" name="ソート②" dataDxfId="95"/>
    <tableColumn id="4" xr3:uid="{00000000-0010-0000-0000-000004000000}" name="列2" dataDxfId="94"/>
    <tableColumn id="5" xr3:uid="{00000000-0010-0000-0000-000005000000}" name="列3" dataDxfId="93"/>
    <tableColumn id="6" xr3:uid="{00000000-0010-0000-0000-000006000000}" name="列4" dataDxfId="92"/>
    <tableColumn id="7" xr3:uid="{00000000-0010-0000-0000-000007000000}" name="列5" dataDxfId="91"/>
    <tableColumn id="8" xr3:uid="{00000000-0010-0000-0000-000008000000}" name="列6" dataDxfId="90"/>
    <tableColumn id="9" xr3:uid="{00000000-0010-0000-0000-000009000000}" name="列7" dataDxfId="89"/>
    <tableColumn id="10" xr3:uid="{00000000-0010-0000-0000-00000A000000}" name="列8" dataDxfId="88"/>
    <tableColumn id="11" xr3:uid="{00000000-0010-0000-0000-00000B000000}" name="列9" dataDxfId="87"/>
    <tableColumn id="12" xr3:uid="{00000000-0010-0000-0000-00000C000000}" name="列10" dataDxfId="86"/>
    <tableColumn id="13" xr3:uid="{00000000-0010-0000-0000-00000D000000}" name="列11" dataDxfId="85"/>
    <tableColumn id="14" xr3:uid="{00000000-0010-0000-0000-00000E000000}" name="列12" dataDxfId="84"/>
    <tableColumn id="15" xr3:uid="{00000000-0010-0000-0000-00000F000000}" name="列13" dataDxfId="83"/>
    <tableColumn id="16" xr3:uid="{00000000-0010-0000-0000-000010000000}" name="列132" dataDxfId="82"/>
    <tableColumn id="18" xr3:uid="{00000000-0010-0000-0000-000012000000}" name="列133" dataDxfId="81" dataCellStyle="標準 3"/>
    <tableColumn id="17" xr3:uid="{00000000-0010-0000-0000-000011000000}" name="列14" dataDxfId="8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kyufuhi@city.sapporo.jp" TargetMode="External"/><Relationship Id="rId1" Type="http://schemas.openxmlformats.org/officeDocument/2006/relationships/hyperlink" Target="mailto:kyufuhi@city.sapporo.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IW602"/>
  <sheetViews>
    <sheetView zoomScale="106" zoomScaleNormal="106" workbookViewId="0">
      <selection activeCell="E3" sqref="E3:F3"/>
    </sheetView>
  </sheetViews>
  <sheetFormatPr defaultColWidth="8" defaultRowHeight="13.5"/>
  <cols>
    <col min="1" max="1" width="6.125" style="12" customWidth="1"/>
    <col min="2" max="2" width="8" style="12" customWidth="1"/>
    <col min="3" max="3" width="11.875" style="12" customWidth="1"/>
    <col min="4" max="5" width="8" style="12" customWidth="1"/>
    <col min="6" max="6" width="35.5" style="12" customWidth="1"/>
    <col min="7" max="7" width="7.625" style="12" customWidth="1"/>
    <col min="8" max="11" width="8" style="12" customWidth="1"/>
    <col min="12" max="12" width="8.875" style="12" customWidth="1"/>
    <col min="13" max="13" width="9" style="12" customWidth="1"/>
    <col min="14" max="14" width="10.5" style="12" customWidth="1"/>
    <col min="15" max="15" width="8.875" style="12" customWidth="1"/>
    <col min="16" max="17" width="9.75" style="12" customWidth="1"/>
    <col min="18" max="18" width="8.875" style="12" customWidth="1"/>
    <col min="19" max="21" width="6" style="12" customWidth="1"/>
    <col min="22" max="22" width="14" style="10" customWidth="1"/>
    <col min="23" max="23" width="17.375" style="10" customWidth="1"/>
    <col min="24" max="24" width="10.875" style="11" customWidth="1"/>
    <col min="25" max="33" width="9" style="10" customWidth="1"/>
    <col min="34" max="76" width="9" style="12" customWidth="1"/>
    <col min="77" max="77" width="13.75" style="12" customWidth="1"/>
    <col min="78" max="249" width="9" style="12" customWidth="1"/>
    <col min="250" max="250" width="6" style="12" bestFit="1" customWidth="1"/>
    <col min="251" max="253" width="8" style="12" bestFit="1" customWidth="1"/>
    <col min="254" max="254" width="35.5" style="12" bestFit="1" customWidth="1"/>
    <col min="255" max="255" width="20.5" style="12" bestFit="1" customWidth="1"/>
    <col min="256" max="16384" width="8" style="12"/>
  </cols>
  <sheetData>
    <row r="1" spans="1:257">
      <c r="A1" s="1" t="s">
        <v>227</v>
      </c>
      <c r="B1" s="1" t="s">
        <v>228</v>
      </c>
      <c r="C1" s="1235" t="s">
        <v>229</v>
      </c>
      <c r="D1" s="1236"/>
      <c r="E1" s="2" t="s">
        <v>230</v>
      </c>
      <c r="F1" s="2" t="s">
        <v>231</v>
      </c>
      <c r="G1" s="3" t="s">
        <v>232</v>
      </c>
      <c r="H1" s="4"/>
      <c r="I1" s="5"/>
      <c r="J1" s="2" t="s">
        <v>233</v>
      </c>
      <c r="K1" s="6" t="s">
        <v>234</v>
      </c>
      <c r="L1" s="7"/>
      <c r="M1" s="7"/>
      <c r="N1" s="7"/>
      <c r="O1" s="7"/>
      <c r="P1" s="1237" t="s">
        <v>324</v>
      </c>
      <c r="Q1" s="1238"/>
      <c r="R1" s="8"/>
      <c r="S1" s="1" t="s">
        <v>227</v>
      </c>
      <c r="T1" s="9"/>
      <c r="U1" s="9"/>
    </row>
    <row r="2" spans="1:257">
      <c r="A2" s="1"/>
      <c r="B2" s="1"/>
      <c r="C2" s="1">
        <v>1</v>
      </c>
      <c r="D2" s="13">
        <v>2</v>
      </c>
      <c r="E2" s="13"/>
      <c r="F2" s="13"/>
      <c r="G2" s="14" t="s">
        <v>235</v>
      </c>
      <c r="H2" s="14" t="s">
        <v>236</v>
      </c>
      <c r="I2" s="14" t="s">
        <v>237</v>
      </c>
      <c r="J2" s="13"/>
      <c r="K2" s="14" t="s">
        <v>235</v>
      </c>
      <c r="L2" s="14" t="s">
        <v>236</v>
      </c>
      <c r="M2" s="14" t="s">
        <v>238</v>
      </c>
      <c r="N2" s="14" t="s">
        <v>239</v>
      </c>
      <c r="O2" s="14" t="s">
        <v>240</v>
      </c>
      <c r="P2" s="14" t="s">
        <v>19</v>
      </c>
      <c r="Q2" s="14" t="s">
        <v>325</v>
      </c>
      <c r="R2" s="15" t="s">
        <v>19</v>
      </c>
      <c r="S2" s="1"/>
      <c r="T2" s="9"/>
      <c r="U2" s="9"/>
      <c r="Y2" s="10">
        <v>1</v>
      </c>
      <c r="Z2" s="10">
        <v>2</v>
      </c>
      <c r="AA2" s="10">
        <v>3</v>
      </c>
      <c r="AB2" s="10">
        <v>4</v>
      </c>
      <c r="AC2" s="10">
        <v>5</v>
      </c>
      <c r="AD2" s="10">
        <v>6</v>
      </c>
      <c r="AE2" s="10">
        <v>7</v>
      </c>
      <c r="AF2" s="10">
        <v>8</v>
      </c>
      <c r="AG2" s="10">
        <v>9</v>
      </c>
      <c r="AH2" s="10">
        <v>10</v>
      </c>
      <c r="AI2" s="10">
        <v>11</v>
      </c>
      <c r="AJ2" s="10">
        <v>12</v>
      </c>
      <c r="AK2" s="10">
        <v>13</v>
      </c>
      <c r="AL2" s="10">
        <v>14</v>
      </c>
      <c r="AM2" s="10">
        <v>15</v>
      </c>
      <c r="AN2" s="10">
        <v>16</v>
      </c>
      <c r="AO2" s="10">
        <v>17</v>
      </c>
      <c r="AP2" s="10">
        <v>18</v>
      </c>
      <c r="AQ2" s="10">
        <v>19</v>
      </c>
      <c r="AR2" s="10">
        <v>20</v>
      </c>
      <c r="AS2" s="10">
        <v>21</v>
      </c>
      <c r="AT2" s="10">
        <v>22</v>
      </c>
      <c r="AU2" s="10">
        <v>23</v>
      </c>
      <c r="AV2" s="10">
        <v>24</v>
      </c>
      <c r="AW2" s="10">
        <v>25</v>
      </c>
      <c r="AX2" s="10">
        <v>26</v>
      </c>
      <c r="AY2" s="10">
        <v>27</v>
      </c>
      <c r="AZ2" s="10">
        <v>28</v>
      </c>
      <c r="BA2" s="10">
        <v>29</v>
      </c>
      <c r="BB2" s="10">
        <v>30</v>
      </c>
      <c r="BC2" s="10">
        <v>31</v>
      </c>
      <c r="BD2" s="10">
        <v>32</v>
      </c>
      <c r="BE2" s="10">
        <v>33</v>
      </c>
      <c r="BF2" s="10">
        <v>34</v>
      </c>
      <c r="BG2" s="10">
        <v>35</v>
      </c>
      <c r="BH2" s="10">
        <v>36</v>
      </c>
      <c r="BI2" s="10">
        <v>37</v>
      </c>
      <c r="BJ2" s="10">
        <v>38</v>
      </c>
      <c r="BK2" s="10">
        <v>39</v>
      </c>
      <c r="BL2" s="10">
        <v>40</v>
      </c>
      <c r="BM2" s="10">
        <v>41</v>
      </c>
      <c r="BN2" s="10">
        <v>42</v>
      </c>
      <c r="BO2" s="10">
        <v>43</v>
      </c>
      <c r="BP2" s="10">
        <v>44</v>
      </c>
      <c r="BQ2" s="10">
        <v>45</v>
      </c>
      <c r="BR2" s="10">
        <v>46</v>
      </c>
      <c r="BS2" s="10">
        <v>47</v>
      </c>
      <c r="BT2" s="10">
        <v>48</v>
      </c>
      <c r="BU2" s="10">
        <v>49</v>
      </c>
      <c r="BV2" s="10">
        <v>50</v>
      </c>
      <c r="BW2" s="10">
        <v>51</v>
      </c>
      <c r="BX2" s="10">
        <v>52</v>
      </c>
      <c r="BY2" s="10">
        <v>53</v>
      </c>
      <c r="BZ2" s="10">
        <v>54</v>
      </c>
      <c r="CA2" s="10">
        <v>55</v>
      </c>
      <c r="CB2" s="10">
        <v>56</v>
      </c>
      <c r="CC2" s="10">
        <v>57</v>
      </c>
      <c r="CD2" s="10">
        <v>58</v>
      </c>
      <c r="CE2" s="10">
        <v>59</v>
      </c>
      <c r="CF2" s="10">
        <v>60</v>
      </c>
      <c r="CG2" s="10">
        <v>61</v>
      </c>
      <c r="CH2" s="10">
        <v>62</v>
      </c>
      <c r="CI2" s="10">
        <v>63</v>
      </c>
      <c r="CJ2" s="10">
        <v>64</v>
      </c>
      <c r="CK2" s="10">
        <v>65</v>
      </c>
      <c r="CL2" s="10">
        <v>66</v>
      </c>
      <c r="CM2" s="10">
        <v>67</v>
      </c>
      <c r="CN2" s="10">
        <v>68</v>
      </c>
      <c r="CO2" s="10">
        <v>69</v>
      </c>
      <c r="CP2" s="10">
        <v>70</v>
      </c>
      <c r="CQ2" s="10">
        <v>71</v>
      </c>
      <c r="CR2" s="10">
        <v>72</v>
      </c>
      <c r="CS2" s="10">
        <v>73</v>
      </c>
      <c r="CT2" s="10">
        <v>74</v>
      </c>
      <c r="CU2" s="10">
        <v>75</v>
      </c>
      <c r="CV2" s="10">
        <v>76</v>
      </c>
      <c r="CW2" s="10">
        <v>77</v>
      </c>
      <c r="CX2" s="10">
        <v>78</v>
      </c>
      <c r="CY2" s="10">
        <v>79</v>
      </c>
      <c r="CZ2" s="10">
        <v>80</v>
      </c>
      <c r="DA2" s="16">
        <v>81</v>
      </c>
    </row>
    <row r="3" spans="1:257" ht="22.5">
      <c r="A3" s="17" t="s">
        <v>494</v>
      </c>
      <c r="B3" s="18" t="s">
        <v>508</v>
      </c>
      <c r="C3" s="18" t="s">
        <v>495</v>
      </c>
      <c r="D3" s="18" t="s">
        <v>241</v>
      </c>
      <c r="E3" s="18" t="s">
        <v>242</v>
      </c>
      <c r="F3" s="18" t="s">
        <v>243</v>
      </c>
      <c r="G3" s="18" t="s">
        <v>244</v>
      </c>
      <c r="H3" s="18" t="s">
        <v>245</v>
      </c>
      <c r="I3" s="18" t="s">
        <v>246</v>
      </c>
      <c r="J3" s="18" t="s">
        <v>247</v>
      </c>
      <c r="K3" s="18" t="s">
        <v>248</v>
      </c>
      <c r="L3" s="18" t="s">
        <v>249</v>
      </c>
      <c r="M3" s="18" t="s">
        <v>250</v>
      </c>
      <c r="N3" s="18" t="s">
        <v>251</v>
      </c>
      <c r="O3" s="18" t="s">
        <v>252</v>
      </c>
      <c r="P3" s="18" t="s">
        <v>253</v>
      </c>
      <c r="Q3" s="18" t="s">
        <v>323</v>
      </c>
      <c r="R3" s="18" t="s">
        <v>254</v>
      </c>
      <c r="S3" s="19"/>
      <c r="T3" s="19"/>
      <c r="U3" s="19"/>
      <c r="W3" s="10" t="s">
        <v>3</v>
      </c>
      <c r="Y3" s="20" t="str">
        <f>VLOOKUP(Y2,$U$4:$V$600,2,FALSE)</f>
        <v>中央区02幼稚園</v>
      </c>
      <c r="Z3" s="21" t="str">
        <f t="shared" ref="Z3:AI3" si="0">VLOOKUP(Z2,$U$4:$V$600,2,FALSE)</f>
        <v>北区02幼稚園</v>
      </c>
      <c r="AA3" s="21" t="str">
        <f t="shared" si="0"/>
        <v>東区02幼稚園</v>
      </c>
      <c r="AB3" s="21" t="str">
        <f t="shared" si="0"/>
        <v>白石区02幼稚園</v>
      </c>
      <c r="AC3" s="21" t="str">
        <f t="shared" si="0"/>
        <v>厚別区02幼稚園</v>
      </c>
      <c r="AD3" s="21" t="str">
        <f t="shared" si="0"/>
        <v>豊平区02幼稚園</v>
      </c>
      <c r="AE3" s="21" t="str">
        <f t="shared" si="0"/>
        <v>清田区02幼稚園</v>
      </c>
      <c r="AF3" s="21" t="str">
        <f t="shared" si="0"/>
        <v>南区02幼稚園</v>
      </c>
      <c r="AG3" s="21" t="str">
        <f t="shared" si="0"/>
        <v>西区02幼稚園</v>
      </c>
      <c r="AH3" s="21" t="str">
        <f t="shared" si="0"/>
        <v/>
      </c>
      <c r="AI3" s="21" t="e">
        <f t="shared" si="0"/>
        <v>#N/A</v>
      </c>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2"/>
      <c r="CT3" s="22"/>
      <c r="CU3" s="22"/>
      <c r="CV3" s="22"/>
      <c r="CW3" s="22"/>
      <c r="CX3" s="22"/>
      <c r="CY3" s="22"/>
      <c r="CZ3" s="22"/>
      <c r="DA3" s="22"/>
    </row>
    <row r="4" spans="1:257" s="33" customFormat="1">
      <c r="A4" s="23">
        <v>100000</v>
      </c>
      <c r="B4" s="24" t="s">
        <v>489</v>
      </c>
      <c r="C4" s="24" t="s">
        <v>490</v>
      </c>
      <c r="D4" s="24" t="s">
        <v>491</v>
      </c>
      <c r="E4" s="24" t="s">
        <v>492</v>
      </c>
      <c r="F4" s="25" t="s">
        <v>493</v>
      </c>
      <c r="G4" s="25">
        <v>0</v>
      </c>
      <c r="H4" s="25">
        <v>0</v>
      </c>
      <c r="I4" s="25">
        <v>0</v>
      </c>
      <c r="J4" s="24">
        <v>460</v>
      </c>
      <c r="K4" s="25">
        <v>460</v>
      </c>
      <c r="L4" s="25">
        <v>0</v>
      </c>
      <c r="M4" s="25">
        <v>0</v>
      </c>
      <c r="N4" s="25">
        <v>0</v>
      </c>
      <c r="O4" s="25">
        <f>SUM(テーブル1[[#This Row],[列11]:[列12]])</f>
        <v>0</v>
      </c>
      <c r="P4" s="25"/>
      <c r="Q4" s="25"/>
      <c r="R4" s="24">
        <f>SUM(K4,L4,O4)</f>
        <v>460</v>
      </c>
      <c r="S4" s="26">
        <f t="shared" ref="S4:S67" si="1">A4</f>
        <v>100000</v>
      </c>
      <c r="T4" s="26">
        <f>COUNTIF($V$4:V4,V4)</f>
        <v>1</v>
      </c>
      <c r="U4" s="26">
        <f>IF(T4=1,COUNTIF($T$4:T4,1),"")</f>
        <v>1</v>
      </c>
      <c r="V4" s="27" t="str">
        <f>$E4&amp;$C4</f>
        <v>中央区02幼稚園</v>
      </c>
      <c r="W4" s="27" t="str">
        <f t="shared" ref="W4:W67" si="2">$F4</f>
        <v>札幌市未来局幼稚園【例】</v>
      </c>
      <c r="X4" s="28"/>
      <c r="Y4" s="29"/>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1"/>
      <c r="CT4" s="31"/>
      <c r="CU4" s="31"/>
      <c r="CV4" s="31"/>
      <c r="CW4" s="31"/>
      <c r="CX4" s="31"/>
      <c r="CY4" s="31"/>
      <c r="CZ4" s="32"/>
      <c r="DA4" s="3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row>
    <row r="5" spans="1:257" s="33" customFormat="1">
      <c r="A5" s="34">
        <v>100056</v>
      </c>
      <c r="B5" s="24" t="s">
        <v>255</v>
      </c>
      <c r="C5" s="24" t="s">
        <v>460</v>
      </c>
      <c r="D5" s="24" t="s">
        <v>910</v>
      </c>
      <c r="E5" s="1158" t="s">
        <v>256</v>
      </c>
      <c r="F5" s="25" t="s">
        <v>257</v>
      </c>
      <c r="G5" s="25"/>
      <c r="H5" s="25"/>
      <c r="I5" s="25"/>
      <c r="J5" s="24">
        <v>120</v>
      </c>
      <c r="K5" s="25">
        <v>95</v>
      </c>
      <c r="L5" s="25">
        <v>0</v>
      </c>
      <c r="M5" s="25">
        <v>0</v>
      </c>
      <c r="N5" s="25">
        <v>0</v>
      </c>
      <c r="O5" s="25">
        <f>SUM(テーブル1[[#This Row],[列11]:[列12]])</f>
        <v>0</v>
      </c>
      <c r="P5" s="25"/>
      <c r="Q5" s="25"/>
      <c r="R5" s="24">
        <f t="shared" ref="R5:R46" si="3">SUM(K5,L5,O5)</f>
        <v>95</v>
      </c>
      <c r="S5" s="26">
        <f t="shared" si="1"/>
        <v>100056</v>
      </c>
      <c r="T5" s="26">
        <f>COUNTIF($V$4:V5,V5)</f>
        <v>2</v>
      </c>
      <c r="U5" s="26" t="str">
        <f>IF(T5=1,COUNTIF($T$4:T5,1),"")</f>
        <v/>
      </c>
      <c r="V5" s="27" t="str">
        <f t="shared" ref="V5:V68" si="4">$E5&amp;$C5</f>
        <v>中央区02幼稚園</v>
      </c>
      <c r="W5" s="27" t="str">
        <f t="shared" si="2"/>
        <v>こひつじ幼稚園</v>
      </c>
      <c r="X5" s="28">
        <v>1</v>
      </c>
      <c r="Y5" s="29" t="str">
        <f t="shared" ref="Y5:AI20" si="5">IFERROR(INDEX($T$4:$W$600,MATCH($X5&amp;Y$3,INDEX($T$4:$T$600&amp;$V$4:$V$600,),0),MATCH("施設名",$T$3:$W$3,0)),"")</f>
        <v>札幌市未来局幼稚園【例】</v>
      </c>
      <c r="Z5" s="30" t="str">
        <f t="shared" si="5"/>
        <v>新琴似育英幼稚園</v>
      </c>
      <c r="AA5" s="30" t="str">
        <f t="shared" si="5"/>
        <v>天使幼稚園</v>
      </c>
      <c r="AB5" s="30" t="str">
        <f t="shared" si="5"/>
        <v>しろいし幼稚園</v>
      </c>
      <c r="AC5" s="30" t="str">
        <f t="shared" si="5"/>
        <v>札幌みづほ幼稚園</v>
      </c>
      <c r="AD5" s="30" t="str">
        <f t="shared" si="5"/>
        <v>美晴幼稚園</v>
      </c>
      <c r="AE5" s="30" t="str">
        <f t="shared" si="5"/>
        <v>清田幼稚園</v>
      </c>
      <c r="AF5" s="30" t="str">
        <f t="shared" si="5"/>
        <v>札幌みすまい幼稚園</v>
      </c>
      <c r="AG5" s="30" t="str">
        <f t="shared" si="5"/>
        <v>あづま幼稚園</v>
      </c>
      <c r="AH5" s="30">
        <f t="shared" si="5"/>
        <v>0</v>
      </c>
      <c r="AI5" s="30" t="str">
        <f t="shared" si="5"/>
        <v/>
      </c>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5"/>
      <c r="CT5" s="35"/>
      <c r="CU5" s="35"/>
      <c r="CV5" s="35"/>
      <c r="CW5" s="35"/>
      <c r="CX5" s="35"/>
      <c r="CY5" s="35"/>
      <c r="CZ5" s="36"/>
      <c r="DA5" s="36"/>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row>
    <row r="6" spans="1:257" s="33" customFormat="1">
      <c r="A6" s="34">
        <v>100079</v>
      </c>
      <c r="B6" s="24" t="s">
        <v>255</v>
      </c>
      <c r="C6" s="24" t="s">
        <v>460</v>
      </c>
      <c r="D6" s="24" t="s">
        <v>910</v>
      </c>
      <c r="E6" s="1158" t="s">
        <v>256</v>
      </c>
      <c r="F6" s="25" t="s">
        <v>911</v>
      </c>
      <c r="G6" s="25"/>
      <c r="H6" s="25"/>
      <c r="I6" s="25"/>
      <c r="J6" s="24">
        <v>80</v>
      </c>
      <c r="K6" s="25">
        <v>80</v>
      </c>
      <c r="L6" s="25">
        <v>0</v>
      </c>
      <c r="M6" s="25">
        <v>0</v>
      </c>
      <c r="N6" s="25">
        <v>0</v>
      </c>
      <c r="O6" s="25">
        <f>SUM(テーブル1[[#This Row],[列11]:[列12]])</f>
        <v>0</v>
      </c>
      <c r="P6" s="25"/>
      <c r="Q6" s="25"/>
      <c r="R6" s="24">
        <f t="shared" si="3"/>
        <v>80</v>
      </c>
      <c r="S6" s="26">
        <f t="shared" si="1"/>
        <v>100079</v>
      </c>
      <c r="T6" s="26">
        <f>COUNTIF($V$4:V6,V6)</f>
        <v>3</v>
      </c>
      <c r="U6" s="26" t="str">
        <f>IF(T6=1,COUNTIF($T$4:T6,1),"")</f>
        <v/>
      </c>
      <c r="V6" s="27" t="str">
        <f t="shared" si="4"/>
        <v>中央区02幼稚園</v>
      </c>
      <c r="W6" s="27" t="str">
        <f t="shared" si="2"/>
        <v>めばえ幼稚園</v>
      </c>
      <c r="X6" s="28">
        <v>2</v>
      </c>
      <c r="Y6" s="37" t="str">
        <f t="shared" si="5"/>
        <v>こひつじ幼稚園</v>
      </c>
      <c r="Z6" s="30" t="str">
        <f t="shared" si="5"/>
        <v>札幌三育幼稚園</v>
      </c>
      <c r="AA6" s="30" t="str">
        <f t="shared" si="5"/>
        <v>あゆみ幼稚園</v>
      </c>
      <c r="AB6" s="30" t="str">
        <f t="shared" si="5"/>
        <v>札幌白樺幼稚園</v>
      </c>
      <c r="AC6" s="30" t="str">
        <f t="shared" si="5"/>
        <v>厚別幼稚園</v>
      </c>
      <c r="AD6" s="30" t="str">
        <f t="shared" si="5"/>
        <v>西岡ふたば幼稚園</v>
      </c>
      <c r="AE6" s="30" t="str">
        <f t="shared" si="5"/>
        <v/>
      </c>
      <c r="AF6" s="30" t="str">
        <f t="shared" si="5"/>
        <v>札幌梅香幼稚園</v>
      </c>
      <c r="AG6" s="30" t="str">
        <f t="shared" si="5"/>
        <v>琴似中央幼稚園</v>
      </c>
      <c r="AH6" s="30">
        <f t="shared" si="5"/>
        <v>0</v>
      </c>
      <c r="AI6" s="30" t="str">
        <f t="shared" si="5"/>
        <v/>
      </c>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5"/>
      <c r="CT6" s="35"/>
      <c r="CU6" s="35"/>
      <c r="CV6" s="35"/>
      <c r="CW6" s="35"/>
      <c r="CX6" s="35"/>
      <c r="CY6" s="35"/>
      <c r="CZ6" s="36"/>
      <c r="DA6" s="36"/>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row>
    <row r="7" spans="1:257" s="33" customFormat="1" ht="11.25" customHeight="1">
      <c r="A7" s="34">
        <v>100081</v>
      </c>
      <c r="B7" s="24" t="s">
        <v>255</v>
      </c>
      <c r="C7" s="24" t="s">
        <v>460</v>
      </c>
      <c r="D7" s="24" t="s">
        <v>910</v>
      </c>
      <c r="E7" s="1158" t="s">
        <v>256</v>
      </c>
      <c r="F7" s="25" t="s">
        <v>912</v>
      </c>
      <c r="G7" s="25"/>
      <c r="H7" s="25"/>
      <c r="I7" s="25"/>
      <c r="J7" s="24">
        <v>245</v>
      </c>
      <c r="K7" s="25">
        <v>245</v>
      </c>
      <c r="L7" s="25">
        <v>0</v>
      </c>
      <c r="M7" s="25">
        <v>0</v>
      </c>
      <c r="N7" s="25">
        <v>0</v>
      </c>
      <c r="O7" s="25">
        <f>SUM(テーブル1[[#This Row],[列11]:[列12]])</f>
        <v>0</v>
      </c>
      <c r="P7" s="25"/>
      <c r="Q7" s="25"/>
      <c r="R7" s="24">
        <f t="shared" si="3"/>
        <v>245</v>
      </c>
      <c r="S7" s="26">
        <f t="shared" si="1"/>
        <v>100081</v>
      </c>
      <c r="T7" s="26">
        <f>COUNTIF($V$4:V7,V7)</f>
        <v>4</v>
      </c>
      <c r="U7" s="26" t="str">
        <f>IF(T7=1,COUNTIF($T$4:T7,1),"")</f>
        <v/>
      </c>
      <c r="V7" s="27" t="str">
        <f t="shared" si="4"/>
        <v>中央区02幼稚園</v>
      </c>
      <c r="W7" s="27" t="str">
        <f t="shared" si="2"/>
        <v>札幌円山幼稚園</v>
      </c>
      <c r="X7" s="28">
        <v>3</v>
      </c>
      <c r="Y7" s="37" t="str">
        <f t="shared" si="5"/>
        <v>めばえ幼稚園</v>
      </c>
      <c r="Z7" s="30" t="str">
        <f t="shared" si="5"/>
        <v/>
      </c>
      <c r="AA7" s="30" t="str">
        <f t="shared" si="5"/>
        <v>あゆみ第二幼稚園</v>
      </c>
      <c r="AB7" s="30" t="str">
        <f t="shared" si="5"/>
        <v>本郷幼稚園</v>
      </c>
      <c r="AC7" s="30" t="str">
        <f t="shared" si="5"/>
        <v/>
      </c>
      <c r="AD7" s="30" t="str">
        <f t="shared" si="5"/>
        <v>ふくずみ幼稚園</v>
      </c>
      <c r="AE7" s="30" t="str">
        <f t="shared" si="5"/>
        <v/>
      </c>
      <c r="AF7" s="30" t="str">
        <f t="shared" si="5"/>
        <v>森の幼稚園</v>
      </c>
      <c r="AG7" s="30" t="str">
        <f t="shared" si="5"/>
        <v>平和幼稚園</v>
      </c>
      <c r="AH7" s="30">
        <f t="shared" si="5"/>
        <v>0</v>
      </c>
      <c r="AI7" s="30" t="str">
        <f t="shared" si="5"/>
        <v/>
      </c>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5"/>
      <c r="CT7" s="35"/>
      <c r="CU7" s="35"/>
      <c r="CV7" s="35"/>
      <c r="CW7" s="35"/>
      <c r="CX7" s="35"/>
      <c r="CY7" s="35"/>
      <c r="CZ7" s="36"/>
      <c r="DA7" s="36"/>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row>
    <row r="8" spans="1:257" s="33" customFormat="1" ht="11.25" customHeight="1">
      <c r="A8" s="34">
        <v>100091</v>
      </c>
      <c r="B8" s="24" t="s">
        <v>255</v>
      </c>
      <c r="C8" s="24" t="s">
        <v>460</v>
      </c>
      <c r="D8" s="24" t="s">
        <v>910</v>
      </c>
      <c r="E8" s="1158" t="s">
        <v>256</v>
      </c>
      <c r="F8" s="25" t="s">
        <v>258</v>
      </c>
      <c r="G8" s="25"/>
      <c r="H8" s="25"/>
      <c r="I8" s="25"/>
      <c r="J8" s="24">
        <v>120</v>
      </c>
      <c r="K8" s="25">
        <v>120</v>
      </c>
      <c r="L8" s="25">
        <v>0</v>
      </c>
      <c r="M8" s="25">
        <v>0</v>
      </c>
      <c r="N8" s="25">
        <v>0</v>
      </c>
      <c r="O8" s="25">
        <f>SUM(テーブル1[[#This Row],[列11]:[列12]])</f>
        <v>0</v>
      </c>
      <c r="P8" s="25"/>
      <c r="Q8" s="25"/>
      <c r="R8" s="24">
        <f t="shared" si="3"/>
        <v>120</v>
      </c>
      <c r="S8" s="26">
        <f t="shared" si="1"/>
        <v>100091</v>
      </c>
      <c r="T8" s="26">
        <f>COUNTIF($V$4:V8,V8)</f>
        <v>5</v>
      </c>
      <c r="U8" s="26" t="str">
        <f>IF(T8=1,COUNTIF($T$4:T8,1),"")</f>
        <v/>
      </c>
      <c r="V8" s="27" t="str">
        <f t="shared" si="4"/>
        <v>中央区02幼稚園</v>
      </c>
      <c r="W8" s="27" t="str">
        <f t="shared" si="2"/>
        <v>札幌大谷第二幼稚園</v>
      </c>
      <c r="X8" s="28">
        <v>4</v>
      </c>
      <c r="Y8" s="37" t="str">
        <f t="shared" si="5"/>
        <v>札幌円山幼稚園</v>
      </c>
      <c r="Z8" s="30" t="str">
        <f t="shared" si="5"/>
        <v/>
      </c>
      <c r="AA8" s="30" t="str">
        <f t="shared" si="5"/>
        <v>札幌大谷大学附属幼稚園</v>
      </c>
      <c r="AB8" s="30" t="str">
        <f t="shared" si="5"/>
        <v/>
      </c>
      <c r="AC8" s="30" t="str">
        <f t="shared" si="5"/>
        <v/>
      </c>
      <c r="AD8" s="30" t="str">
        <f t="shared" si="5"/>
        <v>つきさむ幼稚園</v>
      </c>
      <c r="AE8" s="30" t="str">
        <f t="shared" si="5"/>
        <v/>
      </c>
      <c r="AF8" s="30" t="str">
        <f t="shared" si="5"/>
        <v>真駒内幼稚園</v>
      </c>
      <c r="AG8" s="30" t="str">
        <f t="shared" si="5"/>
        <v>インターナショナル山の手幼稚園</v>
      </c>
      <c r="AH8" s="30">
        <f t="shared" si="5"/>
        <v>0</v>
      </c>
      <c r="AI8" s="30" t="str">
        <f t="shared" si="5"/>
        <v/>
      </c>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5"/>
      <c r="CT8" s="35"/>
      <c r="CU8" s="35"/>
      <c r="CV8" s="35"/>
      <c r="CW8" s="35"/>
      <c r="CX8" s="35"/>
      <c r="CY8" s="35"/>
      <c r="CZ8" s="36"/>
      <c r="DA8" s="36"/>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row>
    <row r="9" spans="1:257" s="33" customFormat="1" ht="11.25" customHeight="1">
      <c r="A9" s="34">
        <v>100092</v>
      </c>
      <c r="B9" s="24" t="s">
        <v>255</v>
      </c>
      <c r="C9" s="24" t="s">
        <v>460</v>
      </c>
      <c r="D9" s="24" t="s">
        <v>910</v>
      </c>
      <c r="E9" s="1158" t="s">
        <v>256</v>
      </c>
      <c r="F9" s="25" t="s">
        <v>913</v>
      </c>
      <c r="G9" s="25"/>
      <c r="H9" s="25"/>
      <c r="I9" s="25"/>
      <c r="J9" s="24">
        <v>105</v>
      </c>
      <c r="K9" s="25">
        <v>75</v>
      </c>
      <c r="L9" s="25">
        <v>0</v>
      </c>
      <c r="M9" s="25">
        <v>0</v>
      </c>
      <c r="N9" s="25">
        <v>0</v>
      </c>
      <c r="O9" s="25">
        <f>SUM(テーブル1[[#This Row],[列11]:[列12]])</f>
        <v>0</v>
      </c>
      <c r="P9" s="25"/>
      <c r="Q9" s="25"/>
      <c r="R9" s="24">
        <f t="shared" si="3"/>
        <v>75</v>
      </c>
      <c r="S9" s="26">
        <f t="shared" si="1"/>
        <v>100092</v>
      </c>
      <c r="T9" s="26">
        <f>COUNTIF($V$4:V9,V9)</f>
        <v>6</v>
      </c>
      <c r="U9" s="26" t="str">
        <f>IF(T9=1,COUNTIF($T$4:T9,1),"")</f>
        <v/>
      </c>
      <c r="V9" s="27" t="str">
        <f t="shared" si="4"/>
        <v>中央区02幼稚園</v>
      </c>
      <c r="W9" s="27" t="str">
        <f t="shared" si="2"/>
        <v>ひかり幼稚園</v>
      </c>
      <c r="X9" s="28">
        <v>5</v>
      </c>
      <c r="Y9" s="37" t="str">
        <f t="shared" si="5"/>
        <v>札幌大谷第二幼稚園</v>
      </c>
      <c r="Z9" s="30" t="str">
        <f t="shared" si="5"/>
        <v/>
      </c>
      <c r="AA9" s="30" t="str">
        <f t="shared" si="5"/>
        <v>札幌幼稚園</v>
      </c>
      <c r="AB9" s="30" t="str">
        <f t="shared" si="5"/>
        <v/>
      </c>
      <c r="AC9" s="30" t="str">
        <f t="shared" si="5"/>
        <v/>
      </c>
      <c r="AD9" s="30" t="str">
        <f t="shared" si="5"/>
        <v>幌南学園幼稚園</v>
      </c>
      <c r="AE9" s="30" t="str">
        <f t="shared" si="5"/>
        <v/>
      </c>
      <c r="AF9" s="30" t="str">
        <f t="shared" si="5"/>
        <v>藤ヶ丘幼稚園</v>
      </c>
      <c r="AG9" s="30" t="str">
        <f t="shared" si="5"/>
        <v>宮ノ丘幼稚園</v>
      </c>
      <c r="AH9" s="30">
        <f t="shared" si="5"/>
        <v>0</v>
      </c>
      <c r="AI9" s="30" t="str">
        <f t="shared" si="5"/>
        <v/>
      </c>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5"/>
      <c r="CT9" s="35"/>
      <c r="CU9" s="35"/>
      <c r="CV9" s="35"/>
      <c r="CW9" s="35"/>
      <c r="CX9" s="35"/>
      <c r="CY9" s="35"/>
      <c r="CZ9" s="36"/>
      <c r="DA9" s="36"/>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row>
    <row r="10" spans="1:257" s="33" customFormat="1" ht="11.25" customHeight="1">
      <c r="A10" s="34">
        <v>100093</v>
      </c>
      <c r="B10" s="24" t="s">
        <v>255</v>
      </c>
      <c r="C10" s="24" t="s">
        <v>460</v>
      </c>
      <c r="D10" s="24" t="s">
        <v>910</v>
      </c>
      <c r="E10" s="1158" t="s">
        <v>256</v>
      </c>
      <c r="F10" s="25" t="s">
        <v>914</v>
      </c>
      <c r="G10" s="25"/>
      <c r="H10" s="25"/>
      <c r="I10" s="25"/>
      <c r="J10" s="24">
        <v>140</v>
      </c>
      <c r="K10" s="25">
        <v>105</v>
      </c>
      <c r="L10" s="25">
        <v>0</v>
      </c>
      <c r="M10" s="25">
        <v>0</v>
      </c>
      <c r="N10" s="25">
        <v>0</v>
      </c>
      <c r="O10" s="25">
        <f>SUM(テーブル1[[#This Row],[列11]:[列12]])</f>
        <v>0</v>
      </c>
      <c r="P10" s="25"/>
      <c r="Q10" s="25"/>
      <c r="R10" s="24">
        <f t="shared" si="3"/>
        <v>105</v>
      </c>
      <c r="S10" s="26">
        <f t="shared" si="1"/>
        <v>100093</v>
      </c>
      <c r="T10" s="26">
        <f>COUNTIF($V$4:V10,V10)</f>
        <v>7</v>
      </c>
      <c r="U10" s="26" t="str">
        <f>IF(T10=1,COUNTIF($T$4:T10,1),"")</f>
        <v/>
      </c>
      <c r="V10" s="27" t="str">
        <f t="shared" si="4"/>
        <v>中央区02幼稚園</v>
      </c>
      <c r="W10" s="27" t="str">
        <f t="shared" si="2"/>
        <v>札幌いづみ幼稚園</v>
      </c>
      <c r="X10" s="28">
        <v>6</v>
      </c>
      <c r="Y10" s="37" t="str">
        <f t="shared" si="5"/>
        <v>ひかり幼稚園</v>
      </c>
      <c r="Z10" s="30" t="str">
        <f t="shared" si="5"/>
        <v/>
      </c>
      <c r="AA10" s="30" t="str">
        <f t="shared" si="5"/>
        <v>北栄幼稚園</v>
      </c>
      <c r="AB10" s="30" t="str">
        <f t="shared" si="5"/>
        <v/>
      </c>
      <c r="AC10" s="30" t="str">
        <f t="shared" si="5"/>
        <v/>
      </c>
      <c r="AD10" s="30" t="str">
        <f t="shared" si="5"/>
        <v/>
      </c>
      <c r="AE10" s="30" t="str">
        <f t="shared" si="5"/>
        <v/>
      </c>
      <c r="AF10" s="30" t="str">
        <f t="shared" si="5"/>
        <v>札幌わかくさ幼稚園</v>
      </c>
      <c r="AG10" s="30" t="str">
        <f t="shared" si="5"/>
        <v/>
      </c>
      <c r="AH10" s="30">
        <f t="shared" si="5"/>
        <v>0</v>
      </c>
      <c r="AI10" s="30" t="str">
        <f t="shared" si="5"/>
        <v/>
      </c>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5"/>
      <c r="CT10" s="35"/>
      <c r="CU10" s="35"/>
      <c r="CV10" s="35"/>
      <c r="CW10" s="35"/>
      <c r="CX10" s="35"/>
      <c r="CY10" s="35"/>
      <c r="CZ10" s="36"/>
      <c r="DA10" s="36"/>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row>
    <row r="11" spans="1:257" s="33" customFormat="1" ht="11.25" customHeight="1">
      <c r="A11" s="34">
        <v>100107</v>
      </c>
      <c r="B11" s="24" t="s">
        <v>255</v>
      </c>
      <c r="C11" s="24" t="s">
        <v>460</v>
      </c>
      <c r="D11" s="24" t="s">
        <v>910</v>
      </c>
      <c r="E11" s="1158" t="s">
        <v>256</v>
      </c>
      <c r="F11" s="25" t="s">
        <v>915</v>
      </c>
      <c r="G11" s="25"/>
      <c r="H11" s="25"/>
      <c r="I11" s="25"/>
      <c r="J11" s="24">
        <v>160</v>
      </c>
      <c r="K11" s="25">
        <v>120</v>
      </c>
      <c r="L11" s="25">
        <v>0</v>
      </c>
      <c r="M11" s="25">
        <v>0</v>
      </c>
      <c r="N11" s="25">
        <v>0</v>
      </c>
      <c r="O11" s="25">
        <f>SUM(テーブル1[[#This Row],[列11]:[列12]])</f>
        <v>0</v>
      </c>
      <c r="P11" s="25"/>
      <c r="Q11" s="25"/>
      <c r="R11" s="24">
        <f t="shared" si="3"/>
        <v>120</v>
      </c>
      <c r="S11" s="26">
        <f t="shared" si="1"/>
        <v>100107</v>
      </c>
      <c r="T11" s="26">
        <f>COUNTIF($V$4:V11,V11)</f>
        <v>8</v>
      </c>
      <c r="U11" s="26" t="str">
        <f>IF(T11=1,COUNTIF($T$4:T11,1),"")</f>
        <v/>
      </c>
      <c r="V11" s="27" t="str">
        <f t="shared" si="4"/>
        <v>中央区02幼稚園</v>
      </c>
      <c r="W11" s="27" t="str">
        <f t="shared" si="2"/>
        <v>宮の森幼稚園</v>
      </c>
      <c r="X11" s="28">
        <v>7</v>
      </c>
      <c r="Y11" s="37" t="str">
        <f t="shared" si="5"/>
        <v>札幌いづみ幼稚園</v>
      </c>
      <c r="Z11" s="30" t="str">
        <f t="shared" si="5"/>
        <v/>
      </c>
      <c r="AA11" s="30" t="str">
        <f t="shared" si="5"/>
        <v/>
      </c>
      <c r="AB11" s="30" t="str">
        <f t="shared" si="5"/>
        <v/>
      </c>
      <c r="AC11" s="30" t="str">
        <f t="shared" si="5"/>
        <v/>
      </c>
      <c r="AD11" s="30" t="str">
        <f t="shared" si="5"/>
        <v/>
      </c>
      <c r="AE11" s="30" t="str">
        <f t="shared" si="5"/>
        <v/>
      </c>
      <c r="AF11" s="30" t="str">
        <f t="shared" si="5"/>
        <v>もなみ幼稚園</v>
      </c>
      <c r="AG11" s="30" t="str">
        <f t="shared" si="5"/>
        <v/>
      </c>
      <c r="AH11" s="30">
        <f t="shared" si="5"/>
        <v>0</v>
      </c>
      <c r="AI11" s="30" t="str">
        <f t="shared" si="5"/>
        <v/>
      </c>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5"/>
      <c r="CT11" s="35"/>
      <c r="CU11" s="35"/>
      <c r="CV11" s="35"/>
      <c r="CW11" s="35"/>
      <c r="CX11" s="35"/>
      <c r="CY11" s="35"/>
      <c r="CZ11" s="36"/>
      <c r="DA11" s="36"/>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row>
    <row r="12" spans="1:257" s="33" customFormat="1" ht="11.25" customHeight="1">
      <c r="A12" s="34">
        <v>200102</v>
      </c>
      <c r="B12" s="24" t="s">
        <v>255</v>
      </c>
      <c r="C12" s="24" t="s">
        <v>460</v>
      </c>
      <c r="D12" s="24" t="s">
        <v>910</v>
      </c>
      <c r="E12" s="1158" t="s">
        <v>259</v>
      </c>
      <c r="F12" s="25" t="s">
        <v>916</v>
      </c>
      <c r="G12" s="25"/>
      <c r="H12" s="25"/>
      <c r="I12" s="25"/>
      <c r="J12" s="24">
        <v>240</v>
      </c>
      <c r="K12" s="25">
        <v>210</v>
      </c>
      <c r="L12" s="25">
        <v>0</v>
      </c>
      <c r="M12" s="25">
        <v>0</v>
      </c>
      <c r="N12" s="25">
        <v>0</v>
      </c>
      <c r="O12" s="25">
        <f>SUM(テーブル1[[#This Row],[列11]:[列12]])</f>
        <v>0</v>
      </c>
      <c r="P12" s="25"/>
      <c r="Q12" s="25"/>
      <c r="R12" s="24">
        <f t="shared" si="3"/>
        <v>210</v>
      </c>
      <c r="S12" s="26">
        <f t="shared" si="1"/>
        <v>200102</v>
      </c>
      <c r="T12" s="26">
        <f>COUNTIF($V$4:V12,V12)</f>
        <v>1</v>
      </c>
      <c r="U12" s="26">
        <f>IF(T12=1,COUNTIF($T$4:T12,1),"")</f>
        <v>2</v>
      </c>
      <c r="V12" s="27" t="str">
        <f t="shared" si="4"/>
        <v>北区02幼稚園</v>
      </c>
      <c r="W12" s="27" t="str">
        <f t="shared" si="2"/>
        <v>新琴似育英幼稚園</v>
      </c>
      <c r="X12" s="28">
        <v>8</v>
      </c>
      <c r="Y12" s="37" t="str">
        <f t="shared" si="5"/>
        <v>宮の森幼稚園</v>
      </c>
      <c r="Z12" s="30" t="str">
        <f t="shared" si="5"/>
        <v/>
      </c>
      <c r="AA12" s="30" t="str">
        <f t="shared" si="5"/>
        <v/>
      </c>
      <c r="AB12" s="30" t="str">
        <f t="shared" si="5"/>
        <v/>
      </c>
      <c r="AC12" s="30" t="str">
        <f t="shared" si="5"/>
        <v/>
      </c>
      <c r="AD12" s="30" t="str">
        <f t="shared" si="5"/>
        <v/>
      </c>
      <c r="AE12" s="30" t="str">
        <f t="shared" si="5"/>
        <v/>
      </c>
      <c r="AF12" s="30" t="str">
        <f t="shared" si="5"/>
        <v>第２もなみ幼稚園</v>
      </c>
      <c r="AG12" s="30" t="str">
        <f t="shared" si="5"/>
        <v/>
      </c>
      <c r="AH12" s="30">
        <f t="shared" si="5"/>
        <v>0</v>
      </c>
      <c r="AI12" s="30" t="str">
        <f t="shared" si="5"/>
        <v/>
      </c>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5"/>
      <c r="CT12" s="35"/>
      <c r="CU12" s="35"/>
      <c r="CV12" s="35"/>
      <c r="CW12" s="35"/>
      <c r="CX12" s="35"/>
      <c r="CY12" s="35"/>
      <c r="CZ12" s="36"/>
      <c r="DA12" s="36"/>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row>
    <row r="13" spans="1:257" s="33" customFormat="1" ht="11.25" customHeight="1">
      <c r="A13" s="34">
        <v>200112</v>
      </c>
      <c r="B13" s="24" t="s">
        <v>255</v>
      </c>
      <c r="C13" s="24" t="s">
        <v>460</v>
      </c>
      <c r="D13" s="24" t="s">
        <v>910</v>
      </c>
      <c r="E13" s="1158" t="s">
        <v>259</v>
      </c>
      <c r="F13" s="25" t="s">
        <v>917</v>
      </c>
      <c r="G13" s="25"/>
      <c r="H13" s="25"/>
      <c r="I13" s="25"/>
      <c r="J13" s="24">
        <v>105</v>
      </c>
      <c r="K13" s="25">
        <v>45</v>
      </c>
      <c r="L13" s="25">
        <v>0</v>
      </c>
      <c r="M13" s="25">
        <v>0</v>
      </c>
      <c r="N13" s="25">
        <v>0</v>
      </c>
      <c r="O13" s="25">
        <f>SUM(テーブル1[[#This Row],[列11]:[列12]])</f>
        <v>0</v>
      </c>
      <c r="P13" s="25"/>
      <c r="Q13" s="25"/>
      <c r="R13" s="24">
        <f t="shared" si="3"/>
        <v>45</v>
      </c>
      <c r="S13" s="26">
        <f t="shared" si="1"/>
        <v>200112</v>
      </c>
      <c r="T13" s="26">
        <f>COUNTIF($V$4:V13,V13)</f>
        <v>2</v>
      </c>
      <c r="U13" s="26" t="str">
        <f>IF(T13=1,COUNTIF($T$4:T13,1),"")</f>
        <v/>
      </c>
      <c r="V13" s="27" t="str">
        <f t="shared" si="4"/>
        <v>北区02幼稚園</v>
      </c>
      <c r="W13" s="27" t="str">
        <f t="shared" si="2"/>
        <v>札幌三育幼稚園</v>
      </c>
      <c r="X13" s="28">
        <v>9</v>
      </c>
      <c r="Y13" s="37" t="str">
        <f t="shared" si="5"/>
        <v/>
      </c>
      <c r="Z13" s="30" t="str">
        <f t="shared" si="5"/>
        <v/>
      </c>
      <c r="AA13" s="30" t="str">
        <f t="shared" si="5"/>
        <v/>
      </c>
      <c r="AB13" s="30" t="str">
        <f t="shared" si="5"/>
        <v/>
      </c>
      <c r="AC13" s="30" t="str">
        <f t="shared" si="5"/>
        <v/>
      </c>
      <c r="AD13" s="30" t="str">
        <f t="shared" si="5"/>
        <v/>
      </c>
      <c r="AE13" s="30" t="str">
        <f t="shared" si="5"/>
        <v/>
      </c>
      <c r="AF13" s="30" t="str">
        <f t="shared" si="5"/>
        <v/>
      </c>
      <c r="AG13" s="30" t="str">
        <f t="shared" si="5"/>
        <v/>
      </c>
      <c r="AH13" s="30">
        <f t="shared" si="5"/>
        <v>0</v>
      </c>
      <c r="AI13" s="30" t="str">
        <f t="shared" si="5"/>
        <v/>
      </c>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5"/>
      <c r="CT13" s="35"/>
      <c r="CU13" s="35"/>
      <c r="CV13" s="35"/>
      <c r="CW13" s="35"/>
      <c r="CX13" s="35"/>
      <c r="CY13" s="35"/>
      <c r="CZ13" s="36"/>
      <c r="DA13" s="36"/>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row>
    <row r="14" spans="1:257" s="33" customFormat="1" ht="11.25" customHeight="1">
      <c r="A14" s="34">
        <v>300078</v>
      </c>
      <c r="B14" s="24" t="s">
        <v>255</v>
      </c>
      <c r="C14" s="24" t="s">
        <v>460</v>
      </c>
      <c r="D14" s="24" t="s">
        <v>910</v>
      </c>
      <c r="E14" s="1158" t="s">
        <v>260</v>
      </c>
      <c r="F14" s="25" t="s">
        <v>918</v>
      </c>
      <c r="G14" s="25"/>
      <c r="H14" s="25"/>
      <c r="I14" s="25"/>
      <c r="J14" s="24">
        <v>150</v>
      </c>
      <c r="K14" s="25">
        <v>90</v>
      </c>
      <c r="L14" s="25">
        <v>0</v>
      </c>
      <c r="M14" s="25">
        <v>0</v>
      </c>
      <c r="N14" s="25">
        <v>0</v>
      </c>
      <c r="O14" s="25">
        <f>SUM(テーブル1[[#This Row],[列11]:[列12]])</f>
        <v>0</v>
      </c>
      <c r="P14" s="25"/>
      <c r="Q14" s="25"/>
      <c r="R14" s="24">
        <f t="shared" si="3"/>
        <v>90</v>
      </c>
      <c r="S14" s="26">
        <f t="shared" si="1"/>
        <v>300078</v>
      </c>
      <c r="T14" s="26">
        <f>COUNTIF($V$4:V14,V14)</f>
        <v>1</v>
      </c>
      <c r="U14" s="26">
        <f>IF(T14=1,COUNTIF($T$4:T14,1),"")</f>
        <v>3</v>
      </c>
      <c r="V14" s="27" t="str">
        <f t="shared" si="4"/>
        <v>東区02幼稚園</v>
      </c>
      <c r="W14" s="27" t="str">
        <f t="shared" si="2"/>
        <v>天使幼稚園</v>
      </c>
      <c r="X14" s="28">
        <v>10</v>
      </c>
      <c r="Y14" s="37" t="str">
        <f t="shared" si="5"/>
        <v/>
      </c>
      <c r="Z14" s="30" t="str">
        <f t="shared" si="5"/>
        <v/>
      </c>
      <c r="AA14" s="30" t="str">
        <f t="shared" si="5"/>
        <v/>
      </c>
      <c r="AB14" s="30" t="str">
        <f t="shared" si="5"/>
        <v/>
      </c>
      <c r="AC14" s="30" t="str">
        <f t="shared" si="5"/>
        <v/>
      </c>
      <c r="AD14" s="30" t="str">
        <f t="shared" si="5"/>
        <v/>
      </c>
      <c r="AE14" s="30" t="str">
        <f t="shared" si="5"/>
        <v/>
      </c>
      <c r="AF14" s="30" t="str">
        <f t="shared" si="5"/>
        <v/>
      </c>
      <c r="AG14" s="30" t="str">
        <f t="shared" si="5"/>
        <v/>
      </c>
      <c r="AH14" s="30">
        <f t="shared" si="5"/>
        <v>0</v>
      </c>
      <c r="AI14" s="30" t="str">
        <f t="shared" si="5"/>
        <v/>
      </c>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5"/>
      <c r="CT14" s="35"/>
      <c r="CU14" s="35"/>
      <c r="CV14" s="35"/>
      <c r="CW14" s="35"/>
      <c r="CX14" s="35"/>
      <c r="CY14" s="35"/>
      <c r="CZ14" s="36"/>
      <c r="DA14" s="36"/>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row>
    <row r="15" spans="1:257" s="33" customFormat="1" ht="11.25" customHeight="1">
      <c r="A15" s="34">
        <v>300079</v>
      </c>
      <c r="B15" s="24" t="s">
        <v>255</v>
      </c>
      <c r="C15" s="24" t="s">
        <v>460</v>
      </c>
      <c r="D15" s="24" t="s">
        <v>910</v>
      </c>
      <c r="E15" s="1158" t="s">
        <v>260</v>
      </c>
      <c r="F15" s="25" t="s">
        <v>919</v>
      </c>
      <c r="G15" s="25"/>
      <c r="H15" s="25"/>
      <c r="I15" s="25"/>
      <c r="J15" s="24">
        <v>230</v>
      </c>
      <c r="K15" s="25">
        <v>210</v>
      </c>
      <c r="L15" s="25">
        <v>0</v>
      </c>
      <c r="M15" s="25">
        <v>0</v>
      </c>
      <c r="N15" s="25">
        <v>0</v>
      </c>
      <c r="O15" s="25">
        <f>SUM(テーブル1[[#This Row],[列11]:[列12]])</f>
        <v>0</v>
      </c>
      <c r="P15" s="25"/>
      <c r="Q15" s="25"/>
      <c r="R15" s="24">
        <f t="shared" si="3"/>
        <v>210</v>
      </c>
      <c r="S15" s="26">
        <f t="shared" si="1"/>
        <v>300079</v>
      </c>
      <c r="T15" s="26">
        <f>COUNTIF($V$4:V15,V15)</f>
        <v>2</v>
      </c>
      <c r="U15" s="26" t="str">
        <f>IF(T15=1,COUNTIF($T$4:T15,1),"")</f>
        <v/>
      </c>
      <c r="V15" s="27" t="str">
        <f t="shared" si="4"/>
        <v>東区02幼稚園</v>
      </c>
      <c r="W15" s="27" t="str">
        <f t="shared" si="2"/>
        <v>あゆみ幼稚園</v>
      </c>
      <c r="X15" s="28">
        <v>11</v>
      </c>
      <c r="Y15" s="37" t="str">
        <f t="shared" si="5"/>
        <v/>
      </c>
      <c r="Z15" s="30" t="str">
        <f t="shared" si="5"/>
        <v/>
      </c>
      <c r="AA15" s="30" t="str">
        <f t="shared" si="5"/>
        <v/>
      </c>
      <c r="AB15" s="30" t="str">
        <f t="shared" si="5"/>
        <v/>
      </c>
      <c r="AC15" s="30" t="str">
        <f t="shared" si="5"/>
        <v/>
      </c>
      <c r="AD15" s="30" t="str">
        <f t="shared" si="5"/>
        <v/>
      </c>
      <c r="AE15" s="30" t="str">
        <f t="shared" si="5"/>
        <v/>
      </c>
      <c r="AF15" s="30" t="str">
        <f t="shared" si="5"/>
        <v/>
      </c>
      <c r="AG15" s="30" t="str">
        <f t="shared" si="5"/>
        <v/>
      </c>
      <c r="AH15" s="30">
        <f t="shared" si="5"/>
        <v>0</v>
      </c>
      <c r="AI15" s="30" t="str">
        <f t="shared" si="5"/>
        <v/>
      </c>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5"/>
      <c r="CT15" s="35"/>
      <c r="CU15" s="35"/>
      <c r="CV15" s="35"/>
      <c r="CW15" s="35"/>
      <c r="CX15" s="35"/>
      <c r="CY15" s="35"/>
      <c r="CZ15" s="36"/>
      <c r="DA15" s="36"/>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row>
    <row r="16" spans="1:257" s="33" customFormat="1" ht="11.25" customHeight="1">
      <c r="A16" s="34">
        <v>300080</v>
      </c>
      <c r="B16" s="24" t="s">
        <v>255</v>
      </c>
      <c r="C16" s="24" t="s">
        <v>460</v>
      </c>
      <c r="D16" s="24" t="s">
        <v>910</v>
      </c>
      <c r="E16" s="1158" t="s">
        <v>260</v>
      </c>
      <c r="F16" s="25" t="s">
        <v>920</v>
      </c>
      <c r="G16" s="25"/>
      <c r="H16" s="25"/>
      <c r="I16" s="25"/>
      <c r="J16" s="24">
        <v>270</v>
      </c>
      <c r="K16" s="25">
        <v>240</v>
      </c>
      <c r="L16" s="25">
        <v>0</v>
      </c>
      <c r="M16" s="25">
        <v>0</v>
      </c>
      <c r="N16" s="25">
        <v>0</v>
      </c>
      <c r="O16" s="25">
        <f>SUM(テーブル1[[#This Row],[列11]:[列12]])</f>
        <v>0</v>
      </c>
      <c r="P16" s="25"/>
      <c r="Q16" s="25"/>
      <c r="R16" s="24">
        <f t="shared" si="3"/>
        <v>240</v>
      </c>
      <c r="S16" s="26">
        <f t="shared" si="1"/>
        <v>300080</v>
      </c>
      <c r="T16" s="26">
        <f>COUNTIF($V$4:V16,V16)</f>
        <v>3</v>
      </c>
      <c r="U16" s="26" t="str">
        <f>IF(T16=1,COUNTIF($T$4:T16,1),"")</f>
        <v/>
      </c>
      <c r="V16" s="27" t="str">
        <f t="shared" si="4"/>
        <v>東区02幼稚園</v>
      </c>
      <c r="W16" s="27" t="str">
        <f t="shared" si="2"/>
        <v>あゆみ第二幼稚園</v>
      </c>
      <c r="X16" s="28">
        <v>12</v>
      </c>
      <c r="Y16" s="37" t="str">
        <f t="shared" si="5"/>
        <v/>
      </c>
      <c r="Z16" s="30" t="str">
        <f t="shared" si="5"/>
        <v/>
      </c>
      <c r="AA16" s="30" t="str">
        <f t="shared" si="5"/>
        <v/>
      </c>
      <c r="AB16" s="30" t="str">
        <f t="shared" si="5"/>
        <v/>
      </c>
      <c r="AC16" s="30" t="str">
        <f t="shared" si="5"/>
        <v/>
      </c>
      <c r="AD16" s="30" t="str">
        <f t="shared" si="5"/>
        <v/>
      </c>
      <c r="AE16" s="30" t="str">
        <f t="shared" si="5"/>
        <v/>
      </c>
      <c r="AF16" s="30" t="str">
        <f t="shared" si="5"/>
        <v/>
      </c>
      <c r="AG16" s="30" t="str">
        <f t="shared" si="5"/>
        <v/>
      </c>
      <c r="AH16" s="30">
        <f t="shared" si="5"/>
        <v>0</v>
      </c>
      <c r="AI16" s="30" t="str">
        <f t="shared" si="5"/>
        <v/>
      </c>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5"/>
      <c r="CT16" s="35"/>
      <c r="CU16" s="35"/>
      <c r="CV16" s="35"/>
      <c r="CW16" s="35"/>
      <c r="CX16" s="35"/>
      <c r="CY16" s="35"/>
      <c r="CZ16" s="36"/>
      <c r="DA16" s="36"/>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row>
    <row r="17" spans="1:257" s="33" customFormat="1" ht="11.25" customHeight="1">
      <c r="A17" s="34">
        <v>300089</v>
      </c>
      <c r="B17" s="24" t="s">
        <v>255</v>
      </c>
      <c r="C17" s="24" t="s">
        <v>460</v>
      </c>
      <c r="D17" s="24" t="s">
        <v>910</v>
      </c>
      <c r="E17" s="1158" t="s">
        <v>260</v>
      </c>
      <c r="F17" s="25" t="s">
        <v>921</v>
      </c>
      <c r="G17" s="25"/>
      <c r="H17" s="25"/>
      <c r="I17" s="25"/>
      <c r="J17" s="24">
        <v>200</v>
      </c>
      <c r="K17" s="25">
        <v>180</v>
      </c>
      <c r="L17" s="25">
        <v>0</v>
      </c>
      <c r="M17" s="25">
        <v>0</v>
      </c>
      <c r="N17" s="25">
        <v>0</v>
      </c>
      <c r="O17" s="25">
        <f>SUM(テーブル1[[#This Row],[列11]:[列12]])</f>
        <v>0</v>
      </c>
      <c r="P17" s="25"/>
      <c r="Q17" s="25"/>
      <c r="R17" s="24">
        <f t="shared" si="3"/>
        <v>180</v>
      </c>
      <c r="S17" s="26">
        <f t="shared" si="1"/>
        <v>300089</v>
      </c>
      <c r="T17" s="26">
        <f>COUNTIF($V$4:V17,V17)</f>
        <v>4</v>
      </c>
      <c r="U17" s="26" t="str">
        <f>IF(T17=1,COUNTIF($T$4:T17,1),"")</f>
        <v/>
      </c>
      <c r="V17" s="27" t="str">
        <f t="shared" si="4"/>
        <v>東区02幼稚園</v>
      </c>
      <c r="W17" s="27" t="str">
        <f t="shared" si="2"/>
        <v>札幌大谷大学附属幼稚園</v>
      </c>
      <c r="X17" s="28">
        <v>13</v>
      </c>
      <c r="Y17" s="37" t="str">
        <f t="shared" si="5"/>
        <v/>
      </c>
      <c r="Z17" s="30" t="str">
        <f t="shared" si="5"/>
        <v/>
      </c>
      <c r="AA17" s="30" t="str">
        <f t="shared" si="5"/>
        <v/>
      </c>
      <c r="AB17" s="30" t="str">
        <f t="shared" si="5"/>
        <v/>
      </c>
      <c r="AC17" s="30" t="str">
        <f t="shared" si="5"/>
        <v/>
      </c>
      <c r="AD17" s="30" t="str">
        <f t="shared" si="5"/>
        <v/>
      </c>
      <c r="AE17" s="30" t="str">
        <f t="shared" si="5"/>
        <v/>
      </c>
      <c r="AF17" s="30" t="str">
        <f t="shared" si="5"/>
        <v/>
      </c>
      <c r="AG17" s="30" t="str">
        <f t="shared" si="5"/>
        <v/>
      </c>
      <c r="AH17" s="30">
        <f t="shared" si="5"/>
        <v>0</v>
      </c>
      <c r="AI17" s="30" t="str">
        <f t="shared" si="5"/>
        <v/>
      </c>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5"/>
      <c r="CT17" s="35"/>
      <c r="CU17" s="35"/>
      <c r="CV17" s="35"/>
      <c r="CW17" s="35"/>
      <c r="CX17" s="35"/>
      <c r="CY17" s="35"/>
      <c r="CZ17" s="36"/>
      <c r="DA17" s="36"/>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row>
    <row r="18" spans="1:257" s="33" customFormat="1" ht="11.25" customHeight="1">
      <c r="A18" s="34">
        <v>300091</v>
      </c>
      <c r="B18" s="24" t="s">
        <v>255</v>
      </c>
      <c r="C18" s="24" t="s">
        <v>460</v>
      </c>
      <c r="D18" s="24" t="s">
        <v>910</v>
      </c>
      <c r="E18" s="1158" t="s">
        <v>260</v>
      </c>
      <c r="F18" s="25" t="s">
        <v>922</v>
      </c>
      <c r="G18" s="25"/>
      <c r="H18" s="25"/>
      <c r="I18" s="25"/>
      <c r="J18" s="24">
        <v>370</v>
      </c>
      <c r="K18" s="25">
        <v>270</v>
      </c>
      <c r="L18" s="25">
        <v>0</v>
      </c>
      <c r="M18" s="25">
        <v>0</v>
      </c>
      <c r="N18" s="25">
        <v>0</v>
      </c>
      <c r="O18" s="25">
        <f>SUM(テーブル1[[#This Row],[列11]:[列12]])</f>
        <v>0</v>
      </c>
      <c r="P18" s="25"/>
      <c r="Q18" s="25"/>
      <c r="R18" s="24">
        <f t="shared" si="3"/>
        <v>270</v>
      </c>
      <c r="S18" s="26">
        <f t="shared" si="1"/>
        <v>300091</v>
      </c>
      <c r="T18" s="26">
        <f>COUNTIF($V$4:V18,V18)</f>
        <v>5</v>
      </c>
      <c r="U18" s="26" t="str">
        <f>IF(T18=1,COUNTIF($T$4:T18,1),"")</f>
        <v/>
      </c>
      <c r="V18" s="27" t="str">
        <f t="shared" si="4"/>
        <v>東区02幼稚園</v>
      </c>
      <c r="W18" s="27" t="str">
        <f t="shared" si="2"/>
        <v>札幌幼稚園</v>
      </c>
      <c r="X18" s="28">
        <v>14</v>
      </c>
      <c r="Y18" s="37" t="str">
        <f t="shared" si="5"/>
        <v/>
      </c>
      <c r="Z18" s="30" t="str">
        <f t="shared" si="5"/>
        <v/>
      </c>
      <c r="AA18" s="30" t="str">
        <f t="shared" si="5"/>
        <v/>
      </c>
      <c r="AB18" s="30" t="str">
        <f t="shared" si="5"/>
        <v/>
      </c>
      <c r="AC18" s="30" t="str">
        <f t="shared" si="5"/>
        <v/>
      </c>
      <c r="AD18" s="30" t="str">
        <f t="shared" si="5"/>
        <v/>
      </c>
      <c r="AE18" s="30" t="str">
        <f t="shared" si="5"/>
        <v/>
      </c>
      <c r="AF18" s="30" t="str">
        <f t="shared" si="5"/>
        <v/>
      </c>
      <c r="AG18" s="30" t="str">
        <f t="shared" si="5"/>
        <v/>
      </c>
      <c r="AH18" s="30">
        <f t="shared" si="5"/>
        <v>0</v>
      </c>
      <c r="AI18" s="30" t="str">
        <f t="shared" si="5"/>
        <v/>
      </c>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5"/>
      <c r="CT18" s="35"/>
      <c r="CU18" s="35"/>
      <c r="CV18" s="35"/>
      <c r="CW18" s="35"/>
      <c r="CX18" s="35"/>
      <c r="CY18" s="35"/>
      <c r="CZ18" s="36"/>
      <c r="DA18" s="36"/>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row>
    <row r="19" spans="1:257" s="33" customFormat="1" ht="11.25" customHeight="1">
      <c r="A19" s="34">
        <v>300110</v>
      </c>
      <c r="B19" s="24" t="s">
        <v>255</v>
      </c>
      <c r="C19" s="24" t="s">
        <v>460</v>
      </c>
      <c r="D19" s="24" t="s">
        <v>910</v>
      </c>
      <c r="E19" s="1158" t="s">
        <v>260</v>
      </c>
      <c r="F19" s="25" t="s">
        <v>1116</v>
      </c>
      <c r="G19" s="25"/>
      <c r="H19" s="25"/>
      <c r="I19" s="25"/>
      <c r="J19" s="24">
        <v>240</v>
      </c>
      <c r="K19" s="25">
        <v>180</v>
      </c>
      <c r="L19" s="25"/>
      <c r="M19" s="25"/>
      <c r="N19" s="25">
        <v>0</v>
      </c>
      <c r="O19" s="25">
        <f>SUM(テーブル1[[#This Row],[列11]:[列12]])</f>
        <v>0</v>
      </c>
      <c r="P19" s="25"/>
      <c r="Q19" s="25"/>
      <c r="R19" s="24">
        <f t="shared" si="3"/>
        <v>180</v>
      </c>
      <c r="S19" s="26">
        <f t="shared" si="1"/>
        <v>300110</v>
      </c>
      <c r="T19" s="26">
        <f>COUNTIF($V$4:V19,V19)</f>
        <v>6</v>
      </c>
      <c r="U19" s="26" t="str">
        <f>IF(T19=1,COUNTIF($T$4:T19,1),"")</f>
        <v/>
      </c>
      <c r="V19" s="27" t="str">
        <f t="shared" si="4"/>
        <v>東区02幼稚園</v>
      </c>
      <c r="W19" s="27" t="str">
        <f t="shared" si="2"/>
        <v>北栄幼稚園</v>
      </c>
      <c r="X19" s="28">
        <v>15</v>
      </c>
      <c r="Y19" s="37" t="str">
        <f t="shared" si="5"/>
        <v/>
      </c>
      <c r="Z19" s="30" t="str">
        <f t="shared" si="5"/>
        <v/>
      </c>
      <c r="AA19" s="30" t="str">
        <f t="shared" si="5"/>
        <v/>
      </c>
      <c r="AB19" s="30" t="str">
        <f t="shared" si="5"/>
        <v/>
      </c>
      <c r="AC19" s="30" t="str">
        <f t="shared" si="5"/>
        <v/>
      </c>
      <c r="AD19" s="30" t="str">
        <f t="shared" si="5"/>
        <v/>
      </c>
      <c r="AE19" s="30" t="str">
        <f t="shared" si="5"/>
        <v/>
      </c>
      <c r="AF19" s="30" t="str">
        <f t="shared" si="5"/>
        <v/>
      </c>
      <c r="AG19" s="30" t="str">
        <f t="shared" si="5"/>
        <v/>
      </c>
      <c r="AH19" s="30">
        <f t="shared" si="5"/>
        <v>0</v>
      </c>
      <c r="AI19" s="30" t="str">
        <f t="shared" si="5"/>
        <v/>
      </c>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5"/>
      <c r="CT19" s="35"/>
      <c r="CU19" s="35"/>
      <c r="CV19" s="35"/>
      <c r="CW19" s="35"/>
      <c r="CX19" s="35"/>
      <c r="CY19" s="35"/>
      <c r="CZ19" s="36"/>
      <c r="DA19" s="36"/>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row>
    <row r="20" spans="1:257" s="33" customFormat="1" ht="11.25" customHeight="1">
      <c r="A20" s="34">
        <v>400062</v>
      </c>
      <c r="B20" s="24" t="s">
        <v>255</v>
      </c>
      <c r="C20" s="24" t="s">
        <v>460</v>
      </c>
      <c r="D20" s="24" t="s">
        <v>910</v>
      </c>
      <c r="E20" s="1158" t="s">
        <v>261</v>
      </c>
      <c r="F20" s="25" t="s">
        <v>923</v>
      </c>
      <c r="G20" s="25"/>
      <c r="H20" s="25"/>
      <c r="I20" s="25"/>
      <c r="J20" s="24">
        <v>230</v>
      </c>
      <c r="K20" s="25">
        <v>135</v>
      </c>
      <c r="L20" s="25">
        <v>0</v>
      </c>
      <c r="M20" s="25">
        <v>0</v>
      </c>
      <c r="N20" s="25">
        <v>0</v>
      </c>
      <c r="O20" s="25">
        <f>SUM(テーブル1[[#This Row],[列11]:[列12]])</f>
        <v>0</v>
      </c>
      <c r="P20" s="25"/>
      <c r="Q20" s="25"/>
      <c r="R20" s="24">
        <f t="shared" si="3"/>
        <v>135</v>
      </c>
      <c r="S20" s="26">
        <f t="shared" si="1"/>
        <v>400062</v>
      </c>
      <c r="T20" s="26">
        <f>COUNTIF($V$4:V20,V20)</f>
        <v>1</v>
      </c>
      <c r="U20" s="26">
        <f>IF(T20=1,COUNTIF($T$4:T20,1),"")</f>
        <v>4</v>
      </c>
      <c r="V20" s="27" t="str">
        <f t="shared" si="4"/>
        <v>白石区02幼稚園</v>
      </c>
      <c r="W20" s="27" t="str">
        <f t="shared" si="2"/>
        <v>しろいし幼稚園</v>
      </c>
      <c r="X20" s="28">
        <v>16</v>
      </c>
      <c r="Y20" s="37" t="str">
        <f t="shared" si="5"/>
        <v/>
      </c>
      <c r="Z20" s="30" t="str">
        <f t="shared" si="5"/>
        <v/>
      </c>
      <c r="AA20" s="30" t="str">
        <f t="shared" si="5"/>
        <v/>
      </c>
      <c r="AB20" s="30" t="str">
        <f t="shared" si="5"/>
        <v/>
      </c>
      <c r="AC20" s="30" t="str">
        <f t="shared" si="5"/>
        <v/>
      </c>
      <c r="AD20" s="30" t="str">
        <f t="shared" si="5"/>
        <v/>
      </c>
      <c r="AE20" s="30" t="str">
        <f t="shared" si="5"/>
        <v/>
      </c>
      <c r="AF20" s="30" t="str">
        <f t="shared" si="5"/>
        <v/>
      </c>
      <c r="AG20" s="30" t="str">
        <f t="shared" si="5"/>
        <v/>
      </c>
      <c r="AH20" s="30">
        <f t="shared" si="5"/>
        <v>0</v>
      </c>
      <c r="AI20" s="30" t="str">
        <f t="shared" si="5"/>
        <v/>
      </c>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5"/>
      <c r="CT20" s="35"/>
      <c r="CU20" s="35"/>
      <c r="CV20" s="35"/>
      <c r="CW20" s="35"/>
      <c r="CX20" s="35"/>
      <c r="CY20" s="35"/>
      <c r="CZ20" s="36"/>
      <c r="DA20" s="36"/>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row>
    <row r="21" spans="1:257" s="33" customFormat="1" ht="11.25" customHeight="1">
      <c r="A21" s="34">
        <v>400075</v>
      </c>
      <c r="B21" s="24" t="s">
        <v>255</v>
      </c>
      <c r="C21" s="24" t="s">
        <v>460</v>
      </c>
      <c r="D21" s="24" t="s">
        <v>910</v>
      </c>
      <c r="E21" s="1158" t="s">
        <v>261</v>
      </c>
      <c r="F21" s="25" t="s">
        <v>262</v>
      </c>
      <c r="G21" s="25"/>
      <c r="H21" s="25"/>
      <c r="I21" s="25"/>
      <c r="J21" s="24">
        <v>390</v>
      </c>
      <c r="K21" s="25">
        <v>390</v>
      </c>
      <c r="L21" s="25">
        <v>0</v>
      </c>
      <c r="M21" s="25">
        <v>0</v>
      </c>
      <c r="N21" s="25">
        <v>0</v>
      </c>
      <c r="O21" s="25">
        <f>SUM(テーブル1[[#This Row],[列11]:[列12]])</f>
        <v>0</v>
      </c>
      <c r="P21" s="25"/>
      <c r="Q21" s="25"/>
      <c r="R21" s="24">
        <f t="shared" si="3"/>
        <v>390</v>
      </c>
      <c r="S21" s="26">
        <f t="shared" si="1"/>
        <v>400075</v>
      </c>
      <c r="T21" s="26">
        <f>COUNTIF($V$4:V21,V21)</f>
        <v>2</v>
      </c>
      <c r="U21" s="26" t="str">
        <f>IF(T21=1,COUNTIF($T$4:T21,1),"")</f>
        <v/>
      </c>
      <c r="V21" s="27" t="str">
        <f t="shared" si="4"/>
        <v>白石区02幼稚園</v>
      </c>
      <c r="W21" s="27" t="str">
        <f t="shared" si="2"/>
        <v>札幌白樺幼稚園</v>
      </c>
      <c r="X21" s="28">
        <v>17</v>
      </c>
      <c r="Y21" s="37" t="str">
        <f t="shared" ref="Y21:AI36" si="6">IFERROR(INDEX($T$4:$W$600,MATCH($X21&amp;Y$3,INDEX($T$4:$T$600&amp;$V$4:$V$600,),0),MATCH("施設名",$T$3:$W$3,0)),"")</f>
        <v/>
      </c>
      <c r="Z21" s="30" t="str">
        <f t="shared" si="6"/>
        <v/>
      </c>
      <c r="AA21" s="30" t="str">
        <f t="shared" si="6"/>
        <v/>
      </c>
      <c r="AB21" s="30" t="str">
        <f t="shared" si="6"/>
        <v/>
      </c>
      <c r="AC21" s="30" t="str">
        <f t="shared" si="6"/>
        <v/>
      </c>
      <c r="AD21" s="30" t="str">
        <f t="shared" si="6"/>
        <v/>
      </c>
      <c r="AE21" s="30" t="str">
        <f t="shared" si="6"/>
        <v/>
      </c>
      <c r="AF21" s="30" t="str">
        <f t="shared" si="6"/>
        <v/>
      </c>
      <c r="AG21" s="30" t="str">
        <f t="shared" si="6"/>
        <v/>
      </c>
      <c r="AH21" s="30">
        <f t="shared" si="6"/>
        <v>0</v>
      </c>
      <c r="AI21" s="30" t="str">
        <f t="shared" si="6"/>
        <v/>
      </c>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5"/>
      <c r="CT21" s="35"/>
      <c r="CU21" s="35"/>
      <c r="CV21" s="35"/>
      <c r="CW21" s="35"/>
      <c r="CX21" s="35"/>
      <c r="CY21" s="35"/>
      <c r="CZ21" s="36"/>
      <c r="DA21" s="36"/>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row>
    <row r="22" spans="1:257" s="33" customFormat="1" ht="11.25" customHeight="1">
      <c r="A22" s="34">
        <v>400076</v>
      </c>
      <c r="B22" s="24" t="s">
        <v>255</v>
      </c>
      <c r="C22" s="24" t="s">
        <v>460</v>
      </c>
      <c r="D22" s="24" t="s">
        <v>910</v>
      </c>
      <c r="E22" s="1158" t="s">
        <v>261</v>
      </c>
      <c r="F22" s="25" t="s">
        <v>924</v>
      </c>
      <c r="G22" s="25"/>
      <c r="H22" s="25"/>
      <c r="I22" s="25"/>
      <c r="J22" s="24">
        <v>420</v>
      </c>
      <c r="K22" s="25">
        <v>420</v>
      </c>
      <c r="L22" s="25">
        <v>0</v>
      </c>
      <c r="M22" s="25">
        <v>0</v>
      </c>
      <c r="N22" s="25">
        <v>0</v>
      </c>
      <c r="O22" s="25">
        <f>SUM(テーブル1[[#This Row],[列11]:[列12]])</f>
        <v>0</v>
      </c>
      <c r="P22" s="25"/>
      <c r="Q22" s="25"/>
      <c r="R22" s="24">
        <f t="shared" si="3"/>
        <v>420</v>
      </c>
      <c r="S22" s="26">
        <f t="shared" si="1"/>
        <v>400076</v>
      </c>
      <c r="T22" s="26">
        <f>COUNTIF($V$4:V22,V22)</f>
        <v>3</v>
      </c>
      <c r="U22" s="26" t="str">
        <f>IF(T22=1,COUNTIF($T$4:T22,1),"")</f>
        <v/>
      </c>
      <c r="V22" s="27" t="str">
        <f t="shared" si="4"/>
        <v>白石区02幼稚園</v>
      </c>
      <c r="W22" s="27" t="str">
        <f t="shared" si="2"/>
        <v>本郷幼稚園</v>
      </c>
      <c r="X22" s="28">
        <v>18</v>
      </c>
      <c r="Y22" s="37" t="str">
        <f t="shared" si="6"/>
        <v/>
      </c>
      <c r="Z22" s="30" t="str">
        <f t="shared" si="6"/>
        <v/>
      </c>
      <c r="AA22" s="30" t="str">
        <f t="shared" si="6"/>
        <v/>
      </c>
      <c r="AB22" s="30" t="str">
        <f t="shared" si="6"/>
        <v/>
      </c>
      <c r="AC22" s="30" t="str">
        <f t="shared" si="6"/>
        <v/>
      </c>
      <c r="AD22" s="30" t="str">
        <f t="shared" si="6"/>
        <v/>
      </c>
      <c r="AE22" s="30" t="str">
        <f t="shared" si="6"/>
        <v/>
      </c>
      <c r="AF22" s="30" t="str">
        <f t="shared" si="6"/>
        <v/>
      </c>
      <c r="AG22" s="30" t="str">
        <f t="shared" si="6"/>
        <v/>
      </c>
      <c r="AH22" s="30">
        <f t="shared" si="6"/>
        <v>0</v>
      </c>
      <c r="AI22" s="30" t="str">
        <f t="shared" si="6"/>
        <v/>
      </c>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5"/>
      <c r="CT22" s="35"/>
      <c r="CU22" s="35"/>
      <c r="CV22" s="35"/>
      <c r="CW22" s="35"/>
      <c r="CX22" s="35"/>
      <c r="CY22" s="35"/>
      <c r="CZ22" s="36"/>
      <c r="DA22" s="36"/>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row>
    <row r="23" spans="1:257" s="33" customFormat="1" ht="11.25" customHeight="1">
      <c r="A23" s="34">
        <v>450040</v>
      </c>
      <c r="B23" s="24" t="s">
        <v>255</v>
      </c>
      <c r="C23" s="24" t="s">
        <v>460</v>
      </c>
      <c r="D23" s="24" t="s">
        <v>910</v>
      </c>
      <c r="E23" s="1158" t="s">
        <v>263</v>
      </c>
      <c r="F23" s="25" t="s">
        <v>264</v>
      </c>
      <c r="G23" s="25"/>
      <c r="H23" s="25"/>
      <c r="I23" s="25"/>
      <c r="J23" s="24">
        <v>90</v>
      </c>
      <c r="K23" s="25">
        <v>60</v>
      </c>
      <c r="L23" s="25">
        <v>0</v>
      </c>
      <c r="M23" s="25">
        <v>0</v>
      </c>
      <c r="N23" s="25">
        <v>0</v>
      </c>
      <c r="O23" s="25">
        <f>SUM(テーブル1[[#This Row],[列11]:[列12]])</f>
        <v>0</v>
      </c>
      <c r="P23" s="25"/>
      <c r="Q23" s="25"/>
      <c r="R23" s="24">
        <f t="shared" si="3"/>
        <v>60</v>
      </c>
      <c r="S23" s="26">
        <f t="shared" si="1"/>
        <v>450040</v>
      </c>
      <c r="T23" s="26">
        <f>COUNTIF($V$4:V23,V23)</f>
        <v>1</v>
      </c>
      <c r="U23" s="26">
        <f>IF(T23=1,COUNTIF($T$4:T23,1),"")</f>
        <v>5</v>
      </c>
      <c r="V23" s="27" t="str">
        <f t="shared" si="4"/>
        <v>厚別区02幼稚園</v>
      </c>
      <c r="W23" s="27" t="str">
        <f t="shared" si="2"/>
        <v>札幌みづほ幼稚園</v>
      </c>
      <c r="X23" s="28">
        <v>19</v>
      </c>
      <c r="Y23" s="37" t="str">
        <f t="shared" si="6"/>
        <v/>
      </c>
      <c r="Z23" s="30" t="str">
        <f t="shared" si="6"/>
        <v/>
      </c>
      <c r="AA23" s="30" t="str">
        <f t="shared" si="6"/>
        <v/>
      </c>
      <c r="AB23" s="30" t="str">
        <f t="shared" si="6"/>
        <v/>
      </c>
      <c r="AC23" s="30" t="str">
        <f t="shared" si="6"/>
        <v/>
      </c>
      <c r="AD23" s="30" t="str">
        <f t="shared" si="6"/>
        <v/>
      </c>
      <c r="AE23" s="30" t="str">
        <f t="shared" si="6"/>
        <v/>
      </c>
      <c r="AF23" s="30" t="str">
        <f t="shared" si="6"/>
        <v/>
      </c>
      <c r="AG23" s="30" t="str">
        <f t="shared" si="6"/>
        <v/>
      </c>
      <c r="AH23" s="30">
        <f t="shared" si="6"/>
        <v>0</v>
      </c>
      <c r="AI23" s="30" t="str">
        <f t="shared" si="6"/>
        <v/>
      </c>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5"/>
      <c r="CT23" s="35"/>
      <c r="CU23" s="35"/>
      <c r="CV23" s="35"/>
      <c r="CW23" s="35"/>
      <c r="CX23" s="35"/>
      <c r="CY23" s="35"/>
      <c r="CZ23" s="36"/>
      <c r="DA23" s="36"/>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row>
    <row r="24" spans="1:257" s="33" customFormat="1" ht="11.25" customHeight="1">
      <c r="A24" s="34">
        <v>450050</v>
      </c>
      <c r="B24" s="24" t="s">
        <v>255</v>
      </c>
      <c r="C24" s="24" t="s">
        <v>460</v>
      </c>
      <c r="D24" s="24" t="s">
        <v>910</v>
      </c>
      <c r="E24" s="1158" t="s">
        <v>263</v>
      </c>
      <c r="F24" s="25" t="s">
        <v>925</v>
      </c>
      <c r="G24" s="25"/>
      <c r="H24" s="25"/>
      <c r="I24" s="25"/>
      <c r="J24" s="24">
        <v>130</v>
      </c>
      <c r="K24" s="25">
        <v>90</v>
      </c>
      <c r="L24" s="25">
        <v>0</v>
      </c>
      <c r="M24" s="25">
        <v>0</v>
      </c>
      <c r="N24" s="25">
        <v>0</v>
      </c>
      <c r="O24" s="25">
        <f>SUM(テーブル1[[#This Row],[列11]:[列12]])</f>
        <v>0</v>
      </c>
      <c r="P24" s="25"/>
      <c r="Q24" s="25"/>
      <c r="R24" s="24">
        <f t="shared" si="3"/>
        <v>90</v>
      </c>
      <c r="S24" s="26">
        <f t="shared" si="1"/>
        <v>450050</v>
      </c>
      <c r="T24" s="26">
        <f>COUNTIF($V$4:V24,V24)</f>
        <v>2</v>
      </c>
      <c r="U24" s="26" t="str">
        <f>IF(T24=1,COUNTIF($T$4:T24,1),"")</f>
        <v/>
      </c>
      <c r="V24" s="27" t="str">
        <f t="shared" si="4"/>
        <v>厚別区02幼稚園</v>
      </c>
      <c r="W24" s="27" t="str">
        <f t="shared" si="2"/>
        <v>厚別幼稚園</v>
      </c>
      <c r="X24" s="28">
        <v>20</v>
      </c>
      <c r="Y24" s="37" t="str">
        <f t="shared" si="6"/>
        <v/>
      </c>
      <c r="Z24" s="30" t="str">
        <f t="shared" si="6"/>
        <v/>
      </c>
      <c r="AA24" s="30" t="str">
        <f t="shared" si="6"/>
        <v/>
      </c>
      <c r="AB24" s="30" t="str">
        <f t="shared" si="6"/>
        <v/>
      </c>
      <c r="AC24" s="30" t="str">
        <f t="shared" si="6"/>
        <v/>
      </c>
      <c r="AD24" s="30" t="str">
        <f t="shared" si="6"/>
        <v/>
      </c>
      <c r="AE24" s="30" t="str">
        <f t="shared" si="6"/>
        <v/>
      </c>
      <c r="AF24" s="30" t="str">
        <f t="shared" si="6"/>
        <v/>
      </c>
      <c r="AG24" s="30" t="str">
        <f t="shared" si="6"/>
        <v/>
      </c>
      <c r="AH24" s="30">
        <f t="shared" si="6"/>
        <v>0</v>
      </c>
      <c r="AI24" s="30" t="str">
        <f t="shared" si="6"/>
        <v/>
      </c>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5"/>
      <c r="CT24" s="35"/>
      <c r="CU24" s="35"/>
      <c r="CV24" s="35"/>
      <c r="CW24" s="35"/>
      <c r="CX24" s="35"/>
      <c r="CY24" s="35"/>
      <c r="CZ24" s="36"/>
      <c r="DA24" s="36"/>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row>
    <row r="25" spans="1:257" s="33" customFormat="1" ht="11.25" customHeight="1">
      <c r="A25" s="34">
        <v>500045</v>
      </c>
      <c r="B25" s="24" t="s">
        <v>255</v>
      </c>
      <c r="C25" s="24" t="s">
        <v>460</v>
      </c>
      <c r="D25" s="24" t="s">
        <v>910</v>
      </c>
      <c r="E25" s="1158" t="s">
        <v>265</v>
      </c>
      <c r="F25" s="25" t="s">
        <v>266</v>
      </c>
      <c r="G25" s="25"/>
      <c r="H25" s="25"/>
      <c r="I25" s="25"/>
      <c r="J25" s="24">
        <v>120</v>
      </c>
      <c r="K25" s="25">
        <v>90</v>
      </c>
      <c r="L25" s="25">
        <v>0</v>
      </c>
      <c r="M25" s="25">
        <v>0</v>
      </c>
      <c r="N25" s="25">
        <v>0</v>
      </c>
      <c r="O25" s="25">
        <f>SUM(テーブル1[[#This Row],[列11]:[列12]])</f>
        <v>0</v>
      </c>
      <c r="P25" s="25"/>
      <c r="Q25" s="25"/>
      <c r="R25" s="24">
        <f t="shared" si="3"/>
        <v>90</v>
      </c>
      <c r="S25" s="26">
        <f t="shared" si="1"/>
        <v>500045</v>
      </c>
      <c r="T25" s="26">
        <f>COUNTIF($V$4:V25,V25)</f>
        <v>1</v>
      </c>
      <c r="U25" s="26">
        <f>IF(T25=1,COUNTIF($T$4:T25,1),"")</f>
        <v>6</v>
      </c>
      <c r="V25" s="27" t="str">
        <f t="shared" si="4"/>
        <v>豊平区02幼稚園</v>
      </c>
      <c r="W25" s="27" t="str">
        <f t="shared" si="2"/>
        <v>美晴幼稚園</v>
      </c>
      <c r="X25" s="28">
        <v>21</v>
      </c>
      <c r="Y25" s="37" t="str">
        <f t="shared" si="6"/>
        <v/>
      </c>
      <c r="Z25" s="30" t="str">
        <f t="shared" si="6"/>
        <v/>
      </c>
      <c r="AA25" s="30" t="str">
        <f t="shared" si="6"/>
        <v/>
      </c>
      <c r="AB25" s="30" t="str">
        <f t="shared" si="6"/>
        <v/>
      </c>
      <c r="AC25" s="30" t="str">
        <f t="shared" si="6"/>
        <v/>
      </c>
      <c r="AD25" s="30" t="str">
        <f t="shared" si="6"/>
        <v/>
      </c>
      <c r="AE25" s="30" t="str">
        <f t="shared" si="6"/>
        <v/>
      </c>
      <c r="AF25" s="30" t="str">
        <f t="shared" si="6"/>
        <v/>
      </c>
      <c r="AG25" s="30" t="str">
        <f t="shared" si="6"/>
        <v/>
      </c>
      <c r="AH25" s="30">
        <f t="shared" si="6"/>
        <v>0</v>
      </c>
      <c r="AI25" s="30" t="str">
        <f t="shared" si="6"/>
        <v/>
      </c>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5"/>
      <c r="CT25" s="35"/>
      <c r="CU25" s="35"/>
      <c r="CV25" s="35"/>
      <c r="CW25" s="35"/>
      <c r="CX25" s="35"/>
      <c r="CY25" s="35"/>
      <c r="CZ25" s="36"/>
      <c r="DA25" s="36"/>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row>
    <row r="26" spans="1:257" s="33" customFormat="1" ht="11.25" customHeight="1">
      <c r="A26" s="34">
        <v>500076</v>
      </c>
      <c r="B26" s="24" t="s">
        <v>255</v>
      </c>
      <c r="C26" s="24" t="s">
        <v>460</v>
      </c>
      <c r="D26" s="24" t="s">
        <v>910</v>
      </c>
      <c r="E26" s="1158" t="s">
        <v>265</v>
      </c>
      <c r="F26" s="25" t="s">
        <v>926</v>
      </c>
      <c r="G26" s="25"/>
      <c r="H26" s="25"/>
      <c r="I26" s="25"/>
      <c r="J26" s="24">
        <v>260</v>
      </c>
      <c r="K26" s="25">
        <v>120</v>
      </c>
      <c r="L26" s="25">
        <v>0</v>
      </c>
      <c r="M26" s="25">
        <v>0</v>
      </c>
      <c r="N26" s="25">
        <v>0</v>
      </c>
      <c r="O26" s="25">
        <f>SUM(テーブル1[[#This Row],[列11]:[列12]])</f>
        <v>0</v>
      </c>
      <c r="P26" s="25"/>
      <c r="Q26" s="25"/>
      <c r="R26" s="24">
        <f t="shared" si="3"/>
        <v>120</v>
      </c>
      <c r="S26" s="26">
        <f t="shared" si="1"/>
        <v>500076</v>
      </c>
      <c r="T26" s="26">
        <f>COUNTIF($V$4:V26,V26)</f>
        <v>2</v>
      </c>
      <c r="U26" s="26" t="str">
        <f>IF(T26=1,COUNTIF($T$4:T26,1),"")</f>
        <v/>
      </c>
      <c r="V26" s="27" t="str">
        <f t="shared" si="4"/>
        <v>豊平区02幼稚園</v>
      </c>
      <c r="W26" s="27" t="str">
        <f t="shared" si="2"/>
        <v>西岡ふたば幼稚園</v>
      </c>
      <c r="X26" s="28">
        <v>22</v>
      </c>
      <c r="Y26" s="37" t="str">
        <f t="shared" si="6"/>
        <v/>
      </c>
      <c r="Z26" s="30" t="str">
        <f t="shared" si="6"/>
        <v/>
      </c>
      <c r="AA26" s="30" t="str">
        <f t="shared" si="6"/>
        <v/>
      </c>
      <c r="AB26" s="30" t="str">
        <f t="shared" si="6"/>
        <v/>
      </c>
      <c r="AC26" s="30" t="str">
        <f t="shared" si="6"/>
        <v/>
      </c>
      <c r="AD26" s="30" t="str">
        <f t="shared" si="6"/>
        <v/>
      </c>
      <c r="AE26" s="30" t="str">
        <f t="shared" si="6"/>
        <v/>
      </c>
      <c r="AF26" s="30" t="str">
        <f t="shared" si="6"/>
        <v/>
      </c>
      <c r="AG26" s="30" t="str">
        <f t="shared" si="6"/>
        <v/>
      </c>
      <c r="AH26" s="30">
        <f t="shared" si="6"/>
        <v>0</v>
      </c>
      <c r="AI26" s="30" t="str">
        <f t="shared" si="6"/>
        <v/>
      </c>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5"/>
      <c r="CT26" s="35"/>
      <c r="CU26" s="35"/>
      <c r="CV26" s="35"/>
      <c r="CW26" s="35"/>
      <c r="CX26" s="35"/>
      <c r="CY26" s="35"/>
      <c r="CZ26" s="36"/>
      <c r="DA26" s="36"/>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row>
    <row r="27" spans="1:257" s="33" customFormat="1" ht="11.25" customHeight="1">
      <c r="A27" s="34">
        <v>500089</v>
      </c>
      <c r="B27" s="24" t="s">
        <v>255</v>
      </c>
      <c r="C27" s="24" t="s">
        <v>460</v>
      </c>
      <c r="D27" s="24" t="s">
        <v>910</v>
      </c>
      <c r="E27" s="1158" t="s">
        <v>265</v>
      </c>
      <c r="F27" s="25" t="s">
        <v>927</v>
      </c>
      <c r="G27" s="25"/>
      <c r="H27" s="25"/>
      <c r="I27" s="25"/>
      <c r="J27" s="24">
        <v>220</v>
      </c>
      <c r="K27" s="25">
        <v>120</v>
      </c>
      <c r="L27" s="25">
        <v>0</v>
      </c>
      <c r="M27" s="25">
        <v>0</v>
      </c>
      <c r="N27" s="25">
        <v>0</v>
      </c>
      <c r="O27" s="25">
        <f>SUM(テーブル1[[#This Row],[列11]:[列12]])</f>
        <v>0</v>
      </c>
      <c r="P27" s="25"/>
      <c r="Q27" s="25"/>
      <c r="R27" s="24">
        <f t="shared" si="3"/>
        <v>120</v>
      </c>
      <c r="S27" s="26">
        <f t="shared" si="1"/>
        <v>500089</v>
      </c>
      <c r="T27" s="26">
        <f>COUNTIF($V$4:V27,V27)</f>
        <v>3</v>
      </c>
      <c r="U27" s="26" t="str">
        <f>IF(T27=1,COUNTIF($T$4:T27,1),"")</f>
        <v/>
      </c>
      <c r="V27" s="27" t="str">
        <f t="shared" si="4"/>
        <v>豊平区02幼稚園</v>
      </c>
      <c r="W27" s="27" t="str">
        <f t="shared" si="2"/>
        <v>ふくずみ幼稚園</v>
      </c>
      <c r="X27" s="28">
        <v>23</v>
      </c>
      <c r="Y27" s="37" t="str">
        <f t="shared" si="6"/>
        <v/>
      </c>
      <c r="Z27" s="30" t="str">
        <f t="shared" si="6"/>
        <v/>
      </c>
      <c r="AA27" s="30" t="str">
        <f t="shared" si="6"/>
        <v/>
      </c>
      <c r="AB27" s="30" t="str">
        <f t="shared" si="6"/>
        <v/>
      </c>
      <c r="AC27" s="30" t="str">
        <f t="shared" si="6"/>
        <v/>
      </c>
      <c r="AD27" s="30" t="str">
        <f t="shared" si="6"/>
        <v/>
      </c>
      <c r="AE27" s="30" t="str">
        <f t="shared" si="6"/>
        <v/>
      </c>
      <c r="AF27" s="30" t="str">
        <f t="shared" si="6"/>
        <v/>
      </c>
      <c r="AG27" s="30" t="str">
        <f t="shared" si="6"/>
        <v/>
      </c>
      <c r="AH27" s="30">
        <f t="shared" si="6"/>
        <v>0</v>
      </c>
      <c r="AI27" s="30" t="str">
        <f t="shared" si="6"/>
        <v/>
      </c>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5"/>
      <c r="CT27" s="35"/>
      <c r="CU27" s="35"/>
      <c r="CV27" s="35"/>
      <c r="CW27" s="35"/>
      <c r="CX27" s="35"/>
      <c r="CY27" s="35"/>
      <c r="CZ27" s="36"/>
      <c r="DA27" s="36"/>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row>
    <row r="28" spans="1:257" s="33" customFormat="1" ht="11.25" customHeight="1">
      <c r="A28" s="34">
        <v>500090</v>
      </c>
      <c r="B28" s="24" t="s">
        <v>255</v>
      </c>
      <c r="C28" s="24" t="s">
        <v>460</v>
      </c>
      <c r="D28" s="24" t="s">
        <v>910</v>
      </c>
      <c r="E28" s="1158" t="s">
        <v>265</v>
      </c>
      <c r="F28" s="25" t="s">
        <v>928</v>
      </c>
      <c r="G28" s="25"/>
      <c r="H28" s="25"/>
      <c r="I28" s="25"/>
      <c r="J28" s="24">
        <v>235</v>
      </c>
      <c r="K28" s="25">
        <v>150</v>
      </c>
      <c r="L28" s="25">
        <v>0</v>
      </c>
      <c r="M28" s="25">
        <v>0</v>
      </c>
      <c r="N28" s="25">
        <v>0</v>
      </c>
      <c r="O28" s="25">
        <f>SUM(テーブル1[[#This Row],[列11]:[列12]])</f>
        <v>0</v>
      </c>
      <c r="P28" s="25"/>
      <c r="Q28" s="25"/>
      <c r="R28" s="24">
        <f t="shared" si="3"/>
        <v>150</v>
      </c>
      <c r="S28" s="26">
        <f t="shared" si="1"/>
        <v>500090</v>
      </c>
      <c r="T28" s="26">
        <f>COUNTIF($V$4:V28,V28)</f>
        <v>4</v>
      </c>
      <c r="U28" s="26" t="str">
        <f>IF(T28=1,COUNTIF($T$4:T28,1),"")</f>
        <v/>
      </c>
      <c r="V28" s="27" t="str">
        <f t="shared" si="4"/>
        <v>豊平区02幼稚園</v>
      </c>
      <c r="W28" s="27" t="str">
        <f t="shared" si="2"/>
        <v>つきさむ幼稚園</v>
      </c>
      <c r="X28" s="28">
        <v>24</v>
      </c>
      <c r="Y28" s="37" t="str">
        <f t="shared" si="6"/>
        <v/>
      </c>
      <c r="Z28" s="30" t="str">
        <f t="shared" si="6"/>
        <v/>
      </c>
      <c r="AA28" s="30" t="str">
        <f t="shared" si="6"/>
        <v/>
      </c>
      <c r="AB28" s="30" t="str">
        <f t="shared" si="6"/>
        <v/>
      </c>
      <c r="AC28" s="30" t="str">
        <f t="shared" si="6"/>
        <v/>
      </c>
      <c r="AD28" s="30" t="str">
        <f t="shared" si="6"/>
        <v/>
      </c>
      <c r="AE28" s="30" t="str">
        <f t="shared" si="6"/>
        <v/>
      </c>
      <c r="AF28" s="30" t="str">
        <f t="shared" si="6"/>
        <v/>
      </c>
      <c r="AG28" s="30" t="str">
        <f t="shared" si="6"/>
        <v/>
      </c>
      <c r="AH28" s="30">
        <f t="shared" si="6"/>
        <v>0</v>
      </c>
      <c r="AI28" s="30" t="str">
        <f t="shared" si="6"/>
        <v/>
      </c>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5"/>
      <c r="CT28" s="35"/>
      <c r="CU28" s="35"/>
      <c r="CV28" s="35"/>
      <c r="CW28" s="35"/>
      <c r="CX28" s="35"/>
      <c r="CY28" s="35"/>
      <c r="CZ28" s="36"/>
      <c r="DA28" s="36"/>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row>
    <row r="29" spans="1:257" s="33" customFormat="1" ht="11.25" customHeight="1">
      <c r="A29" s="34">
        <v>500096</v>
      </c>
      <c r="B29" s="24" t="s">
        <v>255</v>
      </c>
      <c r="C29" s="24" t="s">
        <v>460</v>
      </c>
      <c r="D29" s="24" t="s">
        <v>910</v>
      </c>
      <c r="E29" s="1158" t="s">
        <v>282</v>
      </c>
      <c r="F29" s="25" t="s">
        <v>1059</v>
      </c>
      <c r="G29" s="25"/>
      <c r="H29" s="25"/>
      <c r="I29" s="25"/>
      <c r="J29" s="24">
        <v>210</v>
      </c>
      <c r="K29" s="25">
        <v>150</v>
      </c>
      <c r="L29" s="25">
        <v>0</v>
      </c>
      <c r="M29" s="25">
        <v>0</v>
      </c>
      <c r="N29" s="25">
        <v>0</v>
      </c>
      <c r="O29" s="25">
        <f>SUM(テーブル1[[#This Row],[列11]:[列12]])</f>
        <v>0</v>
      </c>
      <c r="P29" s="25"/>
      <c r="Q29" s="25"/>
      <c r="R29" s="24">
        <f t="shared" si="3"/>
        <v>150</v>
      </c>
      <c r="S29" s="26">
        <f t="shared" si="1"/>
        <v>500096</v>
      </c>
      <c r="T29" s="26">
        <f>COUNTIF($V$4:V29,V29)</f>
        <v>5</v>
      </c>
      <c r="U29" s="26" t="str">
        <f>IF(T29=1,COUNTIF($T$4:T29,1),"")</f>
        <v/>
      </c>
      <c r="V29" s="27" t="str">
        <f t="shared" si="4"/>
        <v>豊平区02幼稚園</v>
      </c>
      <c r="W29" s="27" t="str">
        <f t="shared" si="2"/>
        <v>幌南学園幼稚園</v>
      </c>
      <c r="X29" s="28">
        <v>25</v>
      </c>
      <c r="Y29" s="37" t="str">
        <f t="shared" si="6"/>
        <v/>
      </c>
      <c r="Z29" s="30" t="str">
        <f t="shared" si="6"/>
        <v/>
      </c>
      <c r="AA29" s="30" t="str">
        <f t="shared" si="6"/>
        <v/>
      </c>
      <c r="AB29" s="30" t="str">
        <f t="shared" si="6"/>
        <v/>
      </c>
      <c r="AC29" s="30" t="str">
        <f t="shared" si="6"/>
        <v/>
      </c>
      <c r="AD29" s="30" t="str">
        <f t="shared" si="6"/>
        <v/>
      </c>
      <c r="AE29" s="30" t="str">
        <f t="shared" si="6"/>
        <v/>
      </c>
      <c r="AF29" s="30" t="str">
        <f t="shared" si="6"/>
        <v/>
      </c>
      <c r="AG29" s="30" t="str">
        <f t="shared" si="6"/>
        <v/>
      </c>
      <c r="AH29" s="30">
        <f t="shared" si="6"/>
        <v>0</v>
      </c>
      <c r="AI29" s="30" t="str">
        <f t="shared" si="6"/>
        <v/>
      </c>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5"/>
      <c r="CT29" s="35"/>
      <c r="CU29" s="35"/>
      <c r="CV29" s="35"/>
      <c r="CW29" s="35"/>
      <c r="CX29" s="35"/>
      <c r="CY29" s="35"/>
      <c r="CZ29" s="36"/>
      <c r="DA29" s="36"/>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row>
    <row r="30" spans="1:257" s="33" customFormat="1" ht="11.25" customHeight="1">
      <c r="A30" s="34">
        <v>550029</v>
      </c>
      <c r="B30" s="24" t="s">
        <v>255</v>
      </c>
      <c r="C30" s="24" t="s">
        <v>460</v>
      </c>
      <c r="D30" s="24" t="s">
        <v>910</v>
      </c>
      <c r="E30" s="1158" t="s">
        <v>267</v>
      </c>
      <c r="F30" s="25" t="s">
        <v>929</v>
      </c>
      <c r="G30" s="25"/>
      <c r="H30" s="25"/>
      <c r="I30" s="25"/>
      <c r="J30" s="24">
        <v>280</v>
      </c>
      <c r="K30" s="25">
        <v>180</v>
      </c>
      <c r="L30" s="25">
        <v>0</v>
      </c>
      <c r="M30" s="25">
        <v>0</v>
      </c>
      <c r="N30" s="25">
        <v>0</v>
      </c>
      <c r="O30" s="25">
        <f>SUM(テーブル1[[#This Row],[列11]:[列12]])</f>
        <v>0</v>
      </c>
      <c r="P30" s="25"/>
      <c r="Q30" s="25"/>
      <c r="R30" s="24">
        <f t="shared" si="3"/>
        <v>180</v>
      </c>
      <c r="S30" s="26">
        <f t="shared" si="1"/>
        <v>550029</v>
      </c>
      <c r="T30" s="26">
        <f>COUNTIF($V$4:V30,V30)</f>
        <v>1</v>
      </c>
      <c r="U30" s="26">
        <f>IF(T30=1,COUNTIF($T$4:T30,1),"")</f>
        <v>7</v>
      </c>
      <c r="V30" s="27" t="str">
        <f t="shared" si="4"/>
        <v>清田区02幼稚園</v>
      </c>
      <c r="W30" s="27" t="str">
        <f t="shared" si="2"/>
        <v>清田幼稚園</v>
      </c>
      <c r="X30" s="28">
        <v>26</v>
      </c>
      <c r="Y30" s="37" t="str">
        <f t="shared" si="6"/>
        <v/>
      </c>
      <c r="Z30" s="30" t="str">
        <f t="shared" si="6"/>
        <v/>
      </c>
      <c r="AA30" s="30" t="str">
        <f t="shared" si="6"/>
        <v/>
      </c>
      <c r="AB30" s="30" t="str">
        <f t="shared" si="6"/>
        <v/>
      </c>
      <c r="AC30" s="30" t="str">
        <f t="shared" si="6"/>
        <v/>
      </c>
      <c r="AD30" s="30" t="str">
        <f t="shared" si="6"/>
        <v/>
      </c>
      <c r="AE30" s="30" t="str">
        <f t="shared" si="6"/>
        <v/>
      </c>
      <c r="AF30" s="30" t="str">
        <f t="shared" si="6"/>
        <v/>
      </c>
      <c r="AG30" s="30" t="str">
        <f t="shared" si="6"/>
        <v/>
      </c>
      <c r="AH30" s="30">
        <f t="shared" si="6"/>
        <v>0</v>
      </c>
      <c r="AI30" s="30" t="str">
        <f t="shared" si="6"/>
        <v/>
      </c>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5"/>
      <c r="CT30" s="35"/>
      <c r="CU30" s="35"/>
      <c r="CV30" s="35"/>
      <c r="CW30" s="35"/>
      <c r="CX30" s="35"/>
      <c r="CY30" s="35"/>
      <c r="CZ30" s="36"/>
      <c r="DA30" s="36"/>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row>
    <row r="31" spans="1:257" s="33" customFormat="1" ht="11.25" customHeight="1">
      <c r="A31" s="34">
        <v>600034</v>
      </c>
      <c r="B31" s="24" t="s">
        <v>255</v>
      </c>
      <c r="C31" s="24" t="s">
        <v>460</v>
      </c>
      <c r="D31" s="24" t="s">
        <v>910</v>
      </c>
      <c r="E31" s="1158" t="s">
        <v>268</v>
      </c>
      <c r="F31" s="25" t="s">
        <v>270</v>
      </c>
      <c r="G31" s="25"/>
      <c r="H31" s="25"/>
      <c r="I31" s="25"/>
      <c r="J31" s="24">
        <v>100</v>
      </c>
      <c r="K31" s="25">
        <v>100</v>
      </c>
      <c r="L31" s="25">
        <v>0</v>
      </c>
      <c r="M31" s="25">
        <v>0</v>
      </c>
      <c r="N31" s="25">
        <v>0</v>
      </c>
      <c r="O31" s="25">
        <f>SUM(テーブル1[[#This Row],[列11]:[列12]])</f>
        <v>0</v>
      </c>
      <c r="P31" s="25"/>
      <c r="Q31" s="25"/>
      <c r="R31" s="24">
        <f t="shared" si="3"/>
        <v>100</v>
      </c>
      <c r="S31" s="26">
        <f t="shared" si="1"/>
        <v>600034</v>
      </c>
      <c r="T31" s="26">
        <f>COUNTIF($V$4:V31,V31)</f>
        <v>1</v>
      </c>
      <c r="U31" s="26">
        <f>IF(T31=1,COUNTIF($T$4:T31,1),"")</f>
        <v>8</v>
      </c>
      <c r="V31" s="27" t="str">
        <f t="shared" si="4"/>
        <v>南区02幼稚園</v>
      </c>
      <c r="W31" s="27" t="str">
        <f t="shared" si="2"/>
        <v>札幌みすまい幼稚園</v>
      </c>
      <c r="X31" s="28">
        <v>27</v>
      </c>
      <c r="Y31" s="37" t="str">
        <f t="shared" si="6"/>
        <v/>
      </c>
      <c r="Z31" s="30" t="str">
        <f t="shared" si="6"/>
        <v/>
      </c>
      <c r="AA31" s="30" t="str">
        <f t="shared" si="6"/>
        <v/>
      </c>
      <c r="AB31" s="30" t="str">
        <f t="shared" si="6"/>
        <v/>
      </c>
      <c r="AC31" s="30" t="str">
        <f t="shared" si="6"/>
        <v/>
      </c>
      <c r="AD31" s="30" t="str">
        <f t="shared" si="6"/>
        <v/>
      </c>
      <c r="AE31" s="30" t="str">
        <f t="shared" si="6"/>
        <v/>
      </c>
      <c r="AF31" s="30" t="str">
        <f t="shared" si="6"/>
        <v/>
      </c>
      <c r="AG31" s="30" t="str">
        <f t="shared" si="6"/>
        <v/>
      </c>
      <c r="AH31" s="30">
        <f t="shared" si="6"/>
        <v>0</v>
      </c>
      <c r="AI31" s="30" t="str">
        <f t="shared" si="6"/>
        <v/>
      </c>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5"/>
      <c r="CT31" s="35"/>
      <c r="CU31" s="35"/>
      <c r="CV31" s="35"/>
      <c r="CW31" s="35"/>
      <c r="CX31" s="35"/>
      <c r="CY31" s="35"/>
      <c r="CZ31" s="36"/>
      <c r="DA31" s="36"/>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row>
    <row r="32" spans="1:257" s="33" customFormat="1" ht="11.25" customHeight="1">
      <c r="A32" s="34">
        <v>600033</v>
      </c>
      <c r="B32" s="24" t="s">
        <v>255</v>
      </c>
      <c r="C32" s="24" t="s">
        <v>460</v>
      </c>
      <c r="D32" s="24" t="s">
        <v>910</v>
      </c>
      <c r="E32" s="1158" t="s">
        <v>268</v>
      </c>
      <c r="F32" s="25" t="s">
        <v>269</v>
      </c>
      <c r="G32" s="25"/>
      <c r="H32" s="25"/>
      <c r="I32" s="25"/>
      <c r="J32" s="24">
        <v>150</v>
      </c>
      <c r="K32" s="25">
        <v>35</v>
      </c>
      <c r="L32" s="25">
        <v>0</v>
      </c>
      <c r="M32" s="25">
        <v>0</v>
      </c>
      <c r="N32" s="25">
        <v>0</v>
      </c>
      <c r="O32" s="25">
        <f>SUM(テーブル1[[#This Row],[列11]:[列12]])</f>
        <v>0</v>
      </c>
      <c r="P32" s="25"/>
      <c r="Q32" s="25"/>
      <c r="R32" s="24">
        <f t="shared" si="3"/>
        <v>35</v>
      </c>
      <c r="S32" s="26">
        <f t="shared" si="1"/>
        <v>600033</v>
      </c>
      <c r="T32" s="26">
        <f>COUNTIF($V$4:V32,V32)</f>
        <v>2</v>
      </c>
      <c r="U32" s="26" t="str">
        <f>IF(T32=1,COUNTIF($T$4:T32,1),"")</f>
        <v/>
      </c>
      <c r="V32" s="27" t="str">
        <f t="shared" si="4"/>
        <v>南区02幼稚園</v>
      </c>
      <c r="W32" s="27" t="str">
        <f t="shared" si="2"/>
        <v>札幌梅香幼稚園</v>
      </c>
      <c r="X32" s="28">
        <v>28</v>
      </c>
      <c r="Y32" s="37" t="str">
        <f t="shared" si="6"/>
        <v/>
      </c>
      <c r="Z32" s="30" t="str">
        <f t="shared" si="6"/>
        <v/>
      </c>
      <c r="AA32" s="30" t="str">
        <f t="shared" si="6"/>
        <v/>
      </c>
      <c r="AB32" s="30" t="str">
        <f t="shared" si="6"/>
        <v/>
      </c>
      <c r="AC32" s="30" t="str">
        <f t="shared" si="6"/>
        <v/>
      </c>
      <c r="AD32" s="30" t="str">
        <f t="shared" si="6"/>
        <v/>
      </c>
      <c r="AE32" s="30" t="str">
        <f t="shared" si="6"/>
        <v/>
      </c>
      <c r="AF32" s="30" t="str">
        <f t="shared" si="6"/>
        <v/>
      </c>
      <c r="AG32" s="30" t="str">
        <f t="shared" si="6"/>
        <v/>
      </c>
      <c r="AH32" s="30">
        <f t="shared" si="6"/>
        <v>0</v>
      </c>
      <c r="AI32" s="30" t="str">
        <f t="shared" si="6"/>
        <v/>
      </c>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5"/>
      <c r="CT32" s="35"/>
      <c r="CU32" s="35"/>
      <c r="CV32" s="35"/>
      <c r="CW32" s="35"/>
      <c r="CX32" s="35"/>
      <c r="CY32" s="35"/>
      <c r="CZ32" s="36"/>
      <c r="DA32" s="36"/>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row>
    <row r="33" spans="1:257" s="38" customFormat="1" ht="11.25" customHeight="1">
      <c r="A33" s="34">
        <v>600037</v>
      </c>
      <c r="B33" s="24" t="s">
        <v>255</v>
      </c>
      <c r="C33" s="24" t="s">
        <v>460</v>
      </c>
      <c r="D33" s="24" t="s">
        <v>910</v>
      </c>
      <c r="E33" s="1158" t="s">
        <v>268</v>
      </c>
      <c r="F33" s="25" t="s">
        <v>930</v>
      </c>
      <c r="G33" s="25"/>
      <c r="H33" s="25"/>
      <c r="I33" s="25"/>
      <c r="J33" s="24">
        <v>120</v>
      </c>
      <c r="K33" s="25">
        <v>75</v>
      </c>
      <c r="L33" s="25">
        <v>0</v>
      </c>
      <c r="M33" s="25">
        <v>0</v>
      </c>
      <c r="N33" s="25">
        <v>0</v>
      </c>
      <c r="O33" s="25">
        <f>SUM(テーブル1[[#This Row],[列11]:[列12]])</f>
        <v>0</v>
      </c>
      <c r="P33" s="25"/>
      <c r="Q33" s="25"/>
      <c r="R33" s="24">
        <f t="shared" si="3"/>
        <v>75</v>
      </c>
      <c r="S33" s="26">
        <f t="shared" si="1"/>
        <v>600037</v>
      </c>
      <c r="T33" s="26">
        <f>COUNTIF($V$4:V33,V33)</f>
        <v>3</v>
      </c>
      <c r="U33" s="26" t="str">
        <f>IF(T33=1,COUNTIF($T$4:T33,1),"")</f>
        <v/>
      </c>
      <c r="V33" s="27" t="str">
        <f t="shared" si="4"/>
        <v>南区02幼稚園</v>
      </c>
      <c r="W33" s="27" t="str">
        <f t="shared" si="2"/>
        <v>森の幼稚園</v>
      </c>
      <c r="X33" s="28">
        <v>29</v>
      </c>
      <c r="Y33" s="37" t="str">
        <f t="shared" si="6"/>
        <v/>
      </c>
      <c r="Z33" s="30" t="str">
        <f t="shared" si="6"/>
        <v/>
      </c>
      <c r="AA33" s="30" t="str">
        <f t="shared" si="6"/>
        <v/>
      </c>
      <c r="AB33" s="30" t="str">
        <f t="shared" si="6"/>
        <v/>
      </c>
      <c r="AC33" s="30" t="str">
        <f t="shared" si="6"/>
        <v/>
      </c>
      <c r="AD33" s="30" t="str">
        <f t="shared" si="6"/>
        <v/>
      </c>
      <c r="AE33" s="30" t="str">
        <f t="shared" si="6"/>
        <v/>
      </c>
      <c r="AF33" s="30" t="str">
        <f t="shared" si="6"/>
        <v/>
      </c>
      <c r="AG33" s="30" t="str">
        <f t="shared" si="6"/>
        <v/>
      </c>
      <c r="AH33" s="30">
        <f t="shared" si="6"/>
        <v>0</v>
      </c>
      <c r="AI33" s="30" t="str">
        <f t="shared" si="6"/>
        <v/>
      </c>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5"/>
      <c r="CT33" s="35"/>
      <c r="CU33" s="35"/>
      <c r="CV33" s="35"/>
      <c r="CW33" s="35"/>
      <c r="CX33" s="35"/>
      <c r="CY33" s="35"/>
      <c r="CZ33" s="36"/>
      <c r="DA33" s="36"/>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row>
    <row r="34" spans="1:257" s="33" customFormat="1">
      <c r="A34" s="34">
        <v>600041</v>
      </c>
      <c r="B34" s="24" t="s">
        <v>255</v>
      </c>
      <c r="C34" s="24" t="s">
        <v>460</v>
      </c>
      <c r="D34" s="24" t="s">
        <v>910</v>
      </c>
      <c r="E34" s="24" t="s">
        <v>268</v>
      </c>
      <c r="F34" s="25" t="s">
        <v>931</v>
      </c>
      <c r="G34" s="25"/>
      <c r="H34" s="25"/>
      <c r="I34" s="25"/>
      <c r="J34" s="24">
        <v>240</v>
      </c>
      <c r="K34" s="25">
        <v>135</v>
      </c>
      <c r="L34" s="25">
        <v>0</v>
      </c>
      <c r="M34" s="25">
        <v>0</v>
      </c>
      <c r="N34" s="25">
        <v>0</v>
      </c>
      <c r="O34" s="25">
        <f>SUM(テーブル1[[#This Row],[列11]:[列12]])</f>
        <v>0</v>
      </c>
      <c r="P34" s="25"/>
      <c r="Q34" s="25"/>
      <c r="R34" s="24">
        <f t="shared" si="3"/>
        <v>135</v>
      </c>
      <c r="S34" s="26">
        <f t="shared" si="1"/>
        <v>600041</v>
      </c>
      <c r="T34" s="26">
        <f>COUNTIF($V$4:V34,V34)</f>
        <v>4</v>
      </c>
      <c r="U34" s="26" t="str">
        <f>IF(T34=1,COUNTIF($T$4:T34,1),"")</f>
        <v/>
      </c>
      <c r="V34" s="27" t="str">
        <f t="shared" si="4"/>
        <v>南区02幼稚園</v>
      </c>
      <c r="W34" s="27" t="str">
        <f t="shared" si="2"/>
        <v>真駒内幼稚園</v>
      </c>
      <c r="X34" s="28">
        <v>30</v>
      </c>
      <c r="Y34" s="37" t="str">
        <f t="shared" si="6"/>
        <v/>
      </c>
      <c r="Z34" s="30" t="str">
        <f t="shared" si="6"/>
        <v/>
      </c>
      <c r="AA34" s="30" t="str">
        <f t="shared" si="6"/>
        <v/>
      </c>
      <c r="AB34" s="30" t="str">
        <f t="shared" si="6"/>
        <v/>
      </c>
      <c r="AC34" s="30" t="str">
        <f t="shared" si="6"/>
        <v/>
      </c>
      <c r="AD34" s="30" t="str">
        <f t="shared" si="6"/>
        <v/>
      </c>
      <c r="AE34" s="30" t="str">
        <f t="shared" si="6"/>
        <v/>
      </c>
      <c r="AF34" s="30" t="str">
        <f t="shared" si="6"/>
        <v/>
      </c>
      <c r="AG34" s="30" t="str">
        <f t="shared" si="6"/>
        <v/>
      </c>
      <c r="AH34" s="30">
        <f t="shared" si="6"/>
        <v>0</v>
      </c>
      <c r="AI34" s="30" t="str">
        <f t="shared" si="6"/>
        <v/>
      </c>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5"/>
      <c r="CT34" s="35"/>
      <c r="CU34" s="35"/>
      <c r="CV34" s="35"/>
      <c r="CW34" s="35"/>
      <c r="CX34" s="35"/>
      <c r="CY34" s="35"/>
      <c r="CZ34" s="36"/>
      <c r="DA34" s="36"/>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row>
    <row r="35" spans="1:257" ht="11.25" customHeight="1">
      <c r="A35" s="34">
        <v>600043</v>
      </c>
      <c r="B35" s="24" t="s">
        <v>255</v>
      </c>
      <c r="C35" s="24" t="s">
        <v>460</v>
      </c>
      <c r="D35" s="24" t="s">
        <v>910</v>
      </c>
      <c r="E35" s="1158" t="s">
        <v>268</v>
      </c>
      <c r="F35" s="25" t="s">
        <v>932</v>
      </c>
      <c r="G35" s="25"/>
      <c r="H35" s="25"/>
      <c r="I35" s="25"/>
      <c r="J35" s="24">
        <v>70</v>
      </c>
      <c r="K35" s="25">
        <v>60</v>
      </c>
      <c r="L35" s="25">
        <v>0</v>
      </c>
      <c r="M35" s="25">
        <v>0</v>
      </c>
      <c r="N35" s="25">
        <v>0</v>
      </c>
      <c r="O35" s="25">
        <f>SUM(テーブル1[[#This Row],[列11]:[列12]])</f>
        <v>0</v>
      </c>
      <c r="P35" s="25"/>
      <c r="Q35" s="25"/>
      <c r="R35" s="24">
        <f t="shared" si="3"/>
        <v>60</v>
      </c>
      <c r="S35" s="26">
        <f t="shared" si="1"/>
        <v>600043</v>
      </c>
      <c r="T35" s="26">
        <f>COUNTIF($V$4:V35,V35)</f>
        <v>5</v>
      </c>
      <c r="U35" s="26" t="str">
        <f>IF(T35=1,COUNTIF($T$4:T35,1),"")</f>
        <v/>
      </c>
      <c r="V35" s="27" t="str">
        <f t="shared" si="4"/>
        <v>南区02幼稚園</v>
      </c>
      <c r="W35" s="27" t="str">
        <f t="shared" si="2"/>
        <v>藤ヶ丘幼稚園</v>
      </c>
      <c r="X35" s="28">
        <v>31</v>
      </c>
      <c r="Y35" s="37" t="str">
        <f t="shared" si="6"/>
        <v/>
      </c>
      <c r="Z35" s="30" t="str">
        <f t="shared" si="6"/>
        <v/>
      </c>
      <c r="AA35" s="30" t="str">
        <f t="shared" si="6"/>
        <v/>
      </c>
      <c r="AB35" s="30" t="str">
        <f t="shared" si="6"/>
        <v/>
      </c>
      <c r="AC35" s="30" t="str">
        <f t="shared" si="6"/>
        <v/>
      </c>
      <c r="AD35" s="30" t="str">
        <f t="shared" si="6"/>
        <v/>
      </c>
      <c r="AE35" s="30" t="str">
        <f t="shared" si="6"/>
        <v/>
      </c>
      <c r="AF35" s="30" t="str">
        <f t="shared" si="6"/>
        <v/>
      </c>
      <c r="AG35" s="30" t="str">
        <f t="shared" si="6"/>
        <v/>
      </c>
      <c r="AH35" s="30">
        <f t="shared" si="6"/>
        <v>0</v>
      </c>
      <c r="AI35" s="30" t="str">
        <f t="shared" si="6"/>
        <v/>
      </c>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5"/>
      <c r="CT35" s="35"/>
      <c r="CU35" s="35"/>
      <c r="CV35" s="35"/>
      <c r="CW35" s="35"/>
      <c r="CX35" s="35"/>
      <c r="CY35" s="35"/>
      <c r="CZ35" s="36"/>
      <c r="DA35" s="36"/>
    </row>
    <row r="36" spans="1:257" s="33" customFormat="1" ht="11.25" customHeight="1">
      <c r="A36" s="34">
        <v>600045</v>
      </c>
      <c r="B36" s="24" t="s">
        <v>255</v>
      </c>
      <c r="C36" s="24" t="s">
        <v>460</v>
      </c>
      <c r="D36" s="24" t="s">
        <v>910</v>
      </c>
      <c r="E36" s="1158" t="s">
        <v>268</v>
      </c>
      <c r="F36" s="25" t="s">
        <v>933</v>
      </c>
      <c r="G36" s="25"/>
      <c r="H36" s="25"/>
      <c r="I36" s="25"/>
      <c r="J36" s="24">
        <v>105</v>
      </c>
      <c r="K36" s="25">
        <v>90</v>
      </c>
      <c r="L36" s="25">
        <v>0</v>
      </c>
      <c r="M36" s="25">
        <v>0</v>
      </c>
      <c r="N36" s="25">
        <v>0</v>
      </c>
      <c r="O36" s="25">
        <f>SUM(テーブル1[[#This Row],[列11]:[列12]])</f>
        <v>0</v>
      </c>
      <c r="P36" s="25"/>
      <c r="Q36" s="25"/>
      <c r="R36" s="24">
        <f t="shared" si="3"/>
        <v>90</v>
      </c>
      <c r="S36" s="26">
        <f t="shared" si="1"/>
        <v>600045</v>
      </c>
      <c r="T36" s="26">
        <f>COUNTIF($V$4:V36,V36)</f>
        <v>6</v>
      </c>
      <c r="U36" s="26" t="str">
        <f>IF(T36=1,COUNTIF($T$4:T36,1),"")</f>
        <v/>
      </c>
      <c r="V36" s="27" t="str">
        <f t="shared" si="4"/>
        <v>南区02幼稚園</v>
      </c>
      <c r="W36" s="27" t="str">
        <f t="shared" si="2"/>
        <v>札幌わかくさ幼稚園</v>
      </c>
      <c r="X36" s="28">
        <v>32</v>
      </c>
      <c r="Y36" s="37" t="str">
        <f t="shared" si="6"/>
        <v/>
      </c>
      <c r="Z36" s="30" t="str">
        <f t="shared" si="6"/>
        <v/>
      </c>
      <c r="AA36" s="30" t="str">
        <f t="shared" si="6"/>
        <v/>
      </c>
      <c r="AB36" s="30" t="str">
        <f t="shared" si="6"/>
        <v/>
      </c>
      <c r="AC36" s="30" t="str">
        <f t="shared" si="6"/>
        <v/>
      </c>
      <c r="AD36" s="30" t="str">
        <f t="shared" si="6"/>
        <v/>
      </c>
      <c r="AE36" s="30" t="str">
        <f t="shared" si="6"/>
        <v/>
      </c>
      <c r="AF36" s="30" t="str">
        <f t="shared" si="6"/>
        <v/>
      </c>
      <c r="AG36" s="30" t="str">
        <f t="shared" si="6"/>
        <v/>
      </c>
      <c r="AH36" s="30">
        <f t="shared" si="6"/>
        <v>0</v>
      </c>
      <c r="AI36" s="30" t="str">
        <f t="shared" si="6"/>
        <v/>
      </c>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5"/>
      <c r="CT36" s="35"/>
      <c r="CU36" s="35"/>
      <c r="CV36" s="35"/>
      <c r="CW36" s="35"/>
      <c r="CX36" s="35"/>
      <c r="CY36" s="35"/>
      <c r="CZ36" s="36"/>
      <c r="DA36" s="36"/>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row>
    <row r="37" spans="1:257" s="33" customFormat="1" ht="11.25" customHeight="1">
      <c r="A37" s="34">
        <v>600046</v>
      </c>
      <c r="B37" s="24" t="s">
        <v>255</v>
      </c>
      <c r="C37" s="24" t="s">
        <v>460</v>
      </c>
      <c r="D37" s="24" t="s">
        <v>910</v>
      </c>
      <c r="E37" s="1158" t="s">
        <v>268</v>
      </c>
      <c r="F37" s="25" t="s">
        <v>934</v>
      </c>
      <c r="G37" s="25"/>
      <c r="H37" s="25"/>
      <c r="I37" s="25"/>
      <c r="J37" s="24">
        <v>120</v>
      </c>
      <c r="K37" s="25">
        <v>120</v>
      </c>
      <c r="L37" s="25">
        <v>0</v>
      </c>
      <c r="M37" s="25">
        <v>0</v>
      </c>
      <c r="N37" s="25">
        <v>0</v>
      </c>
      <c r="O37" s="25">
        <f>SUM(テーブル1[[#This Row],[列11]:[列12]])</f>
        <v>0</v>
      </c>
      <c r="P37" s="25"/>
      <c r="Q37" s="25"/>
      <c r="R37" s="24">
        <f t="shared" si="3"/>
        <v>120</v>
      </c>
      <c r="S37" s="26">
        <f t="shared" si="1"/>
        <v>600046</v>
      </c>
      <c r="T37" s="26">
        <f>COUNTIF($V$4:V37,V37)</f>
        <v>7</v>
      </c>
      <c r="U37" s="26" t="str">
        <f>IF(T37=1,COUNTIF($T$4:T37,1),"")</f>
        <v/>
      </c>
      <c r="V37" s="27" t="str">
        <f t="shared" si="4"/>
        <v>南区02幼稚園</v>
      </c>
      <c r="W37" s="27" t="str">
        <f t="shared" si="2"/>
        <v>もなみ幼稚園</v>
      </c>
      <c r="X37" s="28">
        <v>33</v>
      </c>
      <c r="Y37" s="37" t="str">
        <f t="shared" ref="Y37:AI51" si="7">IFERROR(INDEX($T$4:$W$600,MATCH($X37&amp;Y$3,INDEX($T$4:$T$600&amp;$V$4:$V$600,),0),MATCH("施設名",$T$3:$W$3,0)),"")</f>
        <v/>
      </c>
      <c r="Z37" s="30" t="str">
        <f t="shared" si="7"/>
        <v/>
      </c>
      <c r="AA37" s="30" t="str">
        <f t="shared" si="7"/>
        <v/>
      </c>
      <c r="AB37" s="30" t="str">
        <f t="shared" si="7"/>
        <v/>
      </c>
      <c r="AC37" s="30" t="str">
        <f t="shared" si="7"/>
        <v/>
      </c>
      <c r="AD37" s="30" t="str">
        <f t="shared" si="7"/>
        <v/>
      </c>
      <c r="AE37" s="30" t="str">
        <f t="shared" si="7"/>
        <v/>
      </c>
      <c r="AF37" s="30" t="str">
        <f t="shared" si="7"/>
        <v/>
      </c>
      <c r="AG37" s="30" t="str">
        <f t="shared" si="7"/>
        <v/>
      </c>
      <c r="AH37" s="30">
        <f t="shared" si="7"/>
        <v>0</v>
      </c>
      <c r="AI37" s="30" t="str">
        <f t="shared" si="7"/>
        <v/>
      </c>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5"/>
      <c r="CT37" s="35"/>
      <c r="CU37" s="35"/>
      <c r="CV37" s="35"/>
      <c r="CW37" s="35"/>
      <c r="CX37" s="35"/>
      <c r="CY37" s="35"/>
      <c r="CZ37" s="36"/>
      <c r="DA37" s="36"/>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row>
    <row r="38" spans="1:257" s="33" customFormat="1" ht="11.25" customHeight="1">
      <c r="A38" s="34">
        <v>600047</v>
      </c>
      <c r="B38" s="24" t="s">
        <v>255</v>
      </c>
      <c r="C38" s="24" t="s">
        <v>460</v>
      </c>
      <c r="D38" s="24" t="s">
        <v>910</v>
      </c>
      <c r="E38" s="1158" t="s">
        <v>268</v>
      </c>
      <c r="F38" s="25" t="s">
        <v>935</v>
      </c>
      <c r="G38" s="25"/>
      <c r="H38" s="25"/>
      <c r="I38" s="25"/>
      <c r="J38" s="24">
        <v>140</v>
      </c>
      <c r="K38" s="25">
        <v>75</v>
      </c>
      <c r="L38" s="25">
        <v>0</v>
      </c>
      <c r="M38" s="25">
        <v>0</v>
      </c>
      <c r="N38" s="25">
        <v>0</v>
      </c>
      <c r="O38" s="25">
        <f>SUM(テーブル1[[#This Row],[列11]:[列12]])</f>
        <v>0</v>
      </c>
      <c r="P38" s="25"/>
      <c r="Q38" s="25"/>
      <c r="R38" s="24">
        <f t="shared" si="3"/>
        <v>75</v>
      </c>
      <c r="S38" s="26">
        <f t="shared" si="1"/>
        <v>600047</v>
      </c>
      <c r="T38" s="26">
        <f>COUNTIF($V$4:V38,V38)</f>
        <v>8</v>
      </c>
      <c r="U38" s="26" t="str">
        <f>IF(T38=1,COUNTIF($T$4:T38,1),"")</f>
        <v/>
      </c>
      <c r="V38" s="27" t="str">
        <f t="shared" si="4"/>
        <v>南区02幼稚園</v>
      </c>
      <c r="W38" s="27" t="str">
        <f t="shared" si="2"/>
        <v>第２もなみ幼稚園</v>
      </c>
      <c r="X38" s="28">
        <v>34</v>
      </c>
      <c r="Y38" s="37" t="str">
        <f t="shared" si="7"/>
        <v/>
      </c>
      <c r="Z38" s="30" t="str">
        <f t="shared" si="7"/>
        <v/>
      </c>
      <c r="AA38" s="30" t="str">
        <f t="shared" si="7"/>
        <v/>
      </c>
      <c r="AB38" s="30" t="str">
        <f t="shared" si="7"/>
        <v/>
      </c>
      <c r="AC38" s="30" t="str">
        <f t="shared" si="7"/>
        <v/>
      </c>
      <c r="AD38" s="30" t="str">
        <f t="shared" si="7"/>
        <v/>
      </c>
      <c r="AE38" s="30" t="str">
        <f t="shared" si="7"/>
        <v/>
      </c>
      <c r="AF38" s="30" t="str">
        <f t="shared" si="7"/>
        <v/>
      </c>
      <c r="AG38" s="30" t="str">
        <f t="shared" si="7"/>
        <v/>
      </c>
      <c r="AH38" s="30">
        <f t="shared" si="7"/>
        <v>0</v>
      </c>
      <c r="AI38" s="30" t="str">
        <f t="shared" si="7"/>
        <v/>
      </c>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5"/>
      <c r="CT38" s="35"/>
      <c r="CU38" s="35"/>
      <c r="CV38" s="35"/>
      <c r="CW38" s="35"/>
      <c r="CX38" s="35"/>
      <c r="CY38" s="35"/>
      <c r="CZ38" s="36"/>
      <c r="DA38" s="36"/>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row>
    <row r="39" spans="1:257" s="33" customFormat="1" ht="11.25" customHeight="1">
      <c r="A39" s="34">
        <v>700068</v>
      </c>
      <c r="B39" s="24" t="s">
        <v>255</v>
      </c>
      <c r="C39" s="24" t="s">
        <v>460</v>
      </c>
      <c r="D39" s="24" t="s">
        <v>910</v>
      </c>
      <c r="E39" s="1158" t="s">
        <v>271</v>
      </c>
      <c r="F39" s="25" t="s">
        <v>936</v>
      </c>
      <c r="G39" s="25"/>
      <c r="H39" s="25"/>
      <c r="I39" s="25"/>
      <c r="J39" s="24">
        <v>380</v>
      </c>
      <c r="K39" s="25">
        <v>300</v>
      </c>
      <c r="L39" s="25">
        <v>0</v>
      </c>
      <c r="M39" s="25">
        <v>0</v>
      </c>
      <c r="N39" s="25">
        <v>0</v>
      </c>
      <c r="O39" s="25">
        <f>SUM(テーブル1[[#This Row],[列11]:[列12]])</f>
        <v>0</v>
      </c>
      <c r="P39" s="25"/>
      <c r="Q39" s="25"/>
      <c r="R39" s="24">
        <f t="shared" si="3"/>
        <v>300</v>
      </c>
      <c r="S39" s="26">
        <f t="shared" si="1"/>
        <v>700068</v>
      </c>
      <c r="T39" s="26">
        <f>COUNTIF($V$4:V39,V39)</f>
        <v>1</v>
      </c>
      <c r="U39" s="26">
        <f>IF(T39=1,COUNTIF($T$4:T39,1),"")</f>
        <v>9</v>
      </c>
      <c r="V39" s="27" t="str">
        <f t="shared" si="4"/>
        <v>西区02幼稚園</v>
      </c>
      <c r="W39" s="27" t="str">
        <f t="shared" si="2"/>
        <v>あづま幼稚園</v>
      </c>
      <c r="X39" s="28">
        <v>35</v>
      </c>
      <c r="Y39" s="37" t="str">
        <f t="shared" si="7"/>
        <v/>
      </c>
      <c r="Z39" s="30" t="str">
        <f t="shared" si="7"/>
        <v/>
      </c>
      <c r="AA39" s="30" t="str">
        <f t="shared" si="7"/>
        <v/>
      </c>
      <c r="AB39" s="30" t="str">
        <f t="shared" si="7"/>
        <v/>
      </c>
      <c r="AC39" s="30" t="str">
        <f t="shared" si="7"/>
        <v/>
      </c>
      <c r="AD39" s="30" t="str">
        <f t="shared" si="7"/>
        <v/>
      </c>
      <c r="AE39" s="30" t="str">
        <f t="shared" si="7"/>
        <v/>
      </c>
      <c r="AF39" s="30" t="str">
        <f t="shared" si="7"/>
        <v/>
      </c>
      <c r="AG39" s="30" t="str">
        <f t="shared" si="7"/>
        <v/>
      </c>
      <c r="AH39" s="30">
        <f t="shared" si="7"/>
        <v>0</v>
      </c>
      <c r="AI39" s="30" t="str">
        <f t="shared" si="7"/>
        <v/>
      </c>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5"/>
      <c r="CT39" s="35"/>
      <c r="CU39" s="35"/>
      <c r="CV39" s="35"/>
      <c r="CW39" s="35"/>
      <c r="CX39" s="35"/>
      <c r="CY39" s="35"/>
      <c r="CZ39" s="36"/>
      <c r="DA39" s="36"/>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c r="IM39" s="12"/>
      <c r="IN39" s="12"/>
      <c r="IO39" s="12"/>
      <c r="IP39" s="12"/>
      <c r="IQ39" s="12"/>
      <c r="IR39" s="12"/>
      <c r="IS39" s="12"/>
      <c r="IT39" s="12"/>
      <c r="IU39" s="12"/>
      <c r="IV39" s="12"/>
      <c r="IW39" s="12"/>
    </row>
    <row r="40" spans="1:257" s="33" customFormat="1" ht="11.25" customHeight="1">
      <c r="A40" s="34">
        <v>700096</v>
      </c>
      <c r="B40" s="24" t="s">
        <v>255</v>
      </c>
      <c r="C40" s="24" t="s">
        <v>460</v>
      </c>
      <c r="D40" s="24" t="s">
        <v>910</v>
      </c>
      <c r="E40" s="1158" t="s">
        <v>271</v>
      </c>
      <c r="F40" s="25" t="s">
        <v>1017</v>
      </c>
      <c r="G40" s="25"/>
      <c r="H40" s="25"/>
      <c r="I40" s="25"/>
      <c r="J40" s="24">
        <v>140</v>
      </c>
      <c r="K40" s="25">
        <v>80</v>
      </c>
      <c r="L40" s="25">
        <v>0</v>
      </c>
      <c r="M40" s="25">
        <v>0</v>
      </c>
      <c r="N40" s="25">
        <v>0</v>
      </c>
      <c r="O40" s="25">
        <f>SUM(テーブル1[[#This Row],[列11]:[列12]])</f>
        <v>0</v>
      </c>
      <c r="P40" s="25"/>
      <c r="Q40" s="25"/>
      <c r="R40" s="24">
        <f t="shared" si="3"/>
        <v>80</v>
      </c>
      <c r="S40" s="26">
        <f t="shared" si="1"/>
        <v>700096</v>
      </c>
      <c r="T40" s="26">
        <f>COUNTIF($V$4:V40,V40)</f>
        <v>2</v>
      </c>
      <c r="U40" s="26" t="str">
        <f>IF(T40=1,COUNTIF($T$4:T40,1),"")</f>
        <v/>
      </c>
      <c r="V40" s="27" t="str">
        <f t="shared" si="4"/>
        <v>西区02幼稚園</v>
      </c>
      <c r="W40" s="27" t="str">
        <f t="shared" si="2"/>
        <v>琴似中央幼稚園</v>
      </c>
      <c r="X40" s="28">
        <v>36</v>
      </c>
      <c r="Y40" s="37" t="str">
        <f t="shared" si="7"/>
        <v/>
      </c>
      <c r="Z40" s="30" t="str">
        <f t="shared" si="7"/>
        <v/>
      </c>
      <c r="AA40" s="30" t="str">
        <f t="shared" si="7"/>
        <v/>
      </c>
      <c r="AB40" s="30" t="str">
        <f t="shared" si="7"/>
        <v/>
      </c>
      <c r="AC40" s="30" t="str">
        <f t="shared" si="7"/>
        <v/>
      </c>
      <c r="AD40" s="30" t="str">
        <f t="shared" si="7"/>
        <v/>
      </c>
      <c r="AE40" s="30" t="str">
        <f t="shared" si="7"/>
        <v/>
      </c>
      <c r="AF40" s="30" t="str">
        <f t="shared" si="7"/>
        <v/>
      </c>
      <c r="AG40" s="30" t="str">
        <f t="shared" si="7"/>
        <v/>
      </c>
      <c r="AH40" s="30">
        <f t="shared" si="7"/>
        <v>0</v>
      </c>
      <c r="AI40" s="30" t="str">
        <f t="shared" si="7"/>
        <v/>
      </c>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5"/>
      <c r="CT40" s="35"/>
      <c r="CU40" s="35"/>
      <c r="CV40" s="35"/>
      <c r="CW40" s="35"/>
      <c r="CX40" s="35"/>
      <c r="CY40" s="35"/>
      <c r="CZ40" s="36"/>
      <c r="DA40" s="36"/>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IT40" s="12"/>
      <c r="IU40" s="12"/>
      <c r="IV40" s="12"/>
      <c r="IW40" s="12"/>
    </row>
    <row r="41" spans="1:257" s="33" customFormat="1" ht="11.25" customHeight="1">
      <c r="A41" s="34">
        <v>700098</v>
      </c>
      <c r="B41" s="24" t="s">
        <v>255</v>
      </c>
      <c r="C41" s="24" t="s">
        <v>460</v>
      </c>
      <c r="D41" s="24" t="s">
        <v>910</v>
      </c>
      <c r="E41" s="1158" t="s">
        <v>271</v>
      </c>
      <c r="F41" s="25" t="s">
        <v>1117</v>
      </c>
      <c r="G41" s="25"/>
      <c r="H41" s="25"/>
      <c r="I41" s="25"/>
      <c r="J41" s="24">
        <v>400</v>
      </c>
      <c r="K41" s="25">
        <v>400</v>
      </c>
      <c r="L41" s="25">
        <v>0</v>
      </c>
      <c r="M41" s="25">
        <v>0</v>
      </c>
      <c r="N41" s="25">
        <v>0</v>
      </c>
      <c r="O41" s="25">
        <f>SUM(テーブル1[[#This Row],[列11]:[列12]])</f>
        <v>0</v>
      </c>
      <c r="P41" s="25"/>
      <c r="Q41" s="25"/>
      <c r="R41" s="24">
        <f t="shared" si="3"/>
        <v>400</v>
      </c>
      <c r="S41" s="26">
        <f t="shared" si="1"/>
        <v>700098</v>
      </c>
      <c r="T41" s="26">
        <f>COUNTIF($V$4:V41,V41)</f>
        <v>3</v>
      </c>
      <c r="U41" s="26" t="str">
        <f>IF(T41=1,COUNTIF($T$4:T41,1),"")</f>
        <v/>
      </c>
      <c r="V41" s="27" t="str">
        <f t="shared" si="4"/>
        <v>西区02幼稚園</v>
      </c>
      <c r="W41" s="27" t="str">
        <f t="shared" si="2"/>
        <v>平和幼稚園</v>
      </c>
      <c r="X41" s="28">
        <v>37</v>
      </c>
      <c r="Y41" s="37" t="str">
        <f t="shared" si="7"/>
        <v/>
      </c>
      <c r="Z41" s="30" t="str">
        <f t="shared" si="7"/>
        <v/>
      </c>
      <c r="AA41" s="30" t="str">
        <f t="shared" si="7"/>
        <v/>
      </c>
      <c r="AB41" s="30" t="str">
        <f t="shared" si="7"/>
        <v/>
      </c>
      <c r="AC41" s="30" t="str">
        <f t="shared" si="7"/>
        <v/>
      </c>
      <c r="AD41" s="30" t="str">
        <f t="shared" si="7"/>
        <v/>
      </c>
      <c r="AE41" s="30" t="str">
        <f t="shared" si="7"/>
        <v/>
      </c>
      <c r="AF41" s="30" t="str">
        <f t="shared" si="7"/>
        <v/>
      </c>
      <c r="AG41" s="30" t="str">
        <f t="shared" si="7"/>
        <v/>
      </c>
      <c r="AH41" s="30">
        <f t="shared" si="7"/>
        <v>0</v>
      </c>
      <c r="AI41" s="30" t="str">
        <f t="shared" si="7"/>
        <v/>
      </c>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5"/>
      <c r="CT41" s="35"/>
      <c r="CU41" s="35"/>
      <c r="CV41" s="35"/>
      <c r="CW41" s="35"/>
      <c r="CX41" s="35"/>
      <c r="CY41" s="35"/>
      <c r="CZ41" s="36"/>
      <c r="DA41" s="36"/>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c r="IS41" s="12"/>
      <c r="IT41" s="12"/>
      <c r="IU41" s="12"/>
      <c r="IV41" s="12"/>
      <c r="IW41" s="12"/>
    </row>
    <row r="42" spans="1:257" s="33" customFormat="1" ht="11.25" customHeight="1">
      <c r="A42" s="34">
        <v>700099</v>
      </c>
      <c r="B42" s="24" t="s">
        <v>255</v>
      </c>
      <c r="C42" s="24" t="s">
        <v>460</v>
      </c>
      <c r="D42" s="24" t="s">
        <v>910</v>
      </c>
      <c r="E42" s="1158" t="s">
        <v>271</v>
      </c>
      <c r="F42" s="25" t="s">
        <v>1156</v>
      </c>
      <c r="G42" s="25"/>
      <c r="H42" s="25"/>
      <c r="I42" s="25"/>
      <c r="J42" s="24">
        <v>160</v>
      </c>
      <c r="K42" s="25">
        <v>150</v>
      </c>
      <c r="L42" s="25">
        <v>0</v>
      </c>
      <c r="M42" s="25">
        <v>0</v>
      </c>
      <c r="N42" s="25">
        <v>0</v>
      </c>
      <c r="O42" s="25">
        <f>SUM(テーブル1[[#This Row],[列11]:[列12]])</f>
        <v>0</v>
      </c>
      <c r="P42" s="25"/>
      <c r="Q42" s="25"/>
      <c r="R42" s="24">
        <f t="shared" si="3"/>
        <v>150</v>
      </c>
      <c r="S42" s="26">
        <f t="shared" si="1"/>
        <v>700099</v>
      </c>
      <c r="T42" s="26">
        <f>COUNTIF($V$4:V42,V42)</f>
        <v>4</v>
      </c>
      <c r="U42" s="26" t="str">
        <f>IF(T42=1,COUNTIF($T$4:T42,1),"")</f>
        <v/>
      </c>
      <c r="V42" s="27" t="str">
        <f t="shared" si="4"/>
        <v>西区02幼稚園</v>
      </c>
      <c r="W42" s="27" t="str">
        <f t="shared" si="2"/>
        <v>インターナショナル山の手幼稚園</v>
      </c>
      <c r="X42" s="28">
        <v>38</v>
      </c>
      <c r="Y42" s="37" t="str">
        <f t="shared" si="7"/>
        <v/>
      </c>
      <c r="Z42" s="30" t="str">
        <f t="shared" si="7"/>
        <v/>
      </c>
      <c r="AA42" s="30" t="str">
        <f t="shared" si="7"/>
        <v/>
      </c>
      <c r="AB42" s="30" t="str">
        <f t="shared" si="7"/>
        <v/>
      </c>
      <c r="AC42" s="30" t="str">
        <f t="shared" si="7"/>
        <v/>
      </c>
      <c r="AD42" s="30" t="str">
        <f t="shared" si="7"/>
        <v/>
      </c>
      <c r="AE42" s="30" t="str">
        <f t="shared" si="7"/>
        <v/>
      </c>
      <c r="AF42" s="30" t="str">
        <f t="shared" si="7"/>
        <v/>
      </c>
      <c r="AG42" s="30" t="str">
        <f t="shared" si="7"/>
        <v/>
      </c>
      <c r="AH42" s="30">
        <f t="shared" si="7"/>
        <v>0</v>
      </c>
      <c r="AI42" s="30" t="str">
        <f t="shared" si="7"/>
        <v/>
      </c>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5"/>
      <c r="CT42" s="35"/>
      <c r="CU42" s="35"/>
      <c r="CV42" s="35"/>
      <c r="CW42" s="35"/>
      <c r="CX42" s="35"/>
      <c r="CY42" s="35"/>
      <c r="CZ42" s="36"/>
      <c r="DA42" s="36"/>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IT42" s="12"/>
      <c r="IU42" s="12"/>
      <c r="IV42" s="12"/>
      <c r="IW42" s="12"/>
    </row>
    <row r="43" spans="1:257" s="33" customFormat="1" ht="11.25" customHeight="1">
      <c r="A43" s="34">
        <v>700100</v>
      </c>
      <c r="B43" s="24" t="s">
        <v>255</v>
      </c>
      <c r="C43" s="24" t="s">
        <v>460</v>
      </c>
      <c r="D43" s="24" t="s">
        <v>910</v>
      </c>
      <c r="E43" s="1158" t="s">
        <v>271</v>
      </c>
      <c r="F43" s="25" t="s">
        <v>1157</v>
      </c>
      <c r="G43" s="25"/>
      <c r="H43" s="25"/>
      <c r="I43" s="25"/>
      <c r="J43" s="24">
        <v>190</v>
      </c>
      <c r="K43" s="25">
        <v>180</v>
      </c>
      <c r="L43" s="25">
        <v>0</v>
      </c>
      <c r="M43" s="25">
        <v>0</v>
      </c>
      <c r="N43" s="25">
        <v>0</v>
      </c>
      <c r="O43" s="25">
        <f>SUM(テーブル1[[#This Row],[列11]:[列12]])</f>
        <v>0</v>
      </c>
      <c r="P43" s="25"/>
      <c r="Q43" s="25"/>
      <c r="R43" s="24">
        <f t="shared" si="3"/>
        <v>180</v>
      </c>
      <c r="S43" s="26">
        <f t="shared" si="1"/>
        <v>700100</v>
      </c>
      <c r="T43" s="26">
        <f>COUNTIF($V$4:V43,V43)</f>
        <v>5</v>
      </c>
      <c r="U43" s="26" t="str">
        <f>IF(T43=1,COUNTIF($T$4:T43,1),"")</f>
        <v/>
      </c>
      <c r="V43" s="27" t="str">
        <f t="shared" si="4"/>
        <v>西区02幼稚園</v>
      </c>
      <c r="W43" s="27" t="str">
        <f t="shared" si="2"/>
        <v>宮ノ丘幼稚園</v>
      </c>
      <c r="X43" s="28">
        <v>39</v>
      </c>
      <c r="Y43" s="37" t="str">
        <f t="shared" si="7"/>
        <v/>
      </c>
      <c r="Z43" s="30" t="str">
        <f t="shared" si="7"/>
        <v/>
      </c>
      <c r="AA43" s="30" t="str">
        <f t="shared" si="7"/>
        <v/>
      </c>
      <c r="AB43" s="30" t="str">
        <f t="shared" si="7"/>
        <v/>
      </c>
      <c r="AC43" s="30" t="str">
        <f t="shared" si="7"/>
        <v/>
      </c>
      <c r="AD43" s="30" t="str">
        <f t="shared" si="7"/>
        <v/>
      </c>
      <c r="AE43" s="30" t="str">
        <f t="shared" si="7"/>
        <v/>
      </c>
      <c r="AF43" s="30" t="str">
        <f t="shared" si="7"/>
        <v/>
      </c>
      <c r="AG43" s="30" t="str">
        <f t="shared" si="7"/>
        <v/>
      </c>
      <c r="AH43" s="30">
        <f t="shared" si="7"/>
        <v>0</v>
      </c>
      <c r="AI43" s="30" t="str">
        <f t="shared" si="7"/>
        <v/>
      </c>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5"/>
      <c r="CT43" s="35"/>
      <c r="CU43" s="35"/>
      <c r="CV43" s="35"/>
      <c r="CW43" s="35"/>
      <c r="CX43" s="35"/>
      <c r="CY43" s="35"/>
      <c r="CZ43" s="36"/>
      <c r="DA43" s="36"/>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row>
    <row r="44" spans="1:257" s="33" customFormat="1" ht="11.25" customHeight="1">
      <c r="A44" s="34"/>
      <c r="B44" s="24"/>
      <c r="C44" s="24"/>
      <c r="D44" s="24"/>
      <c r="E44" s="1158"/>
      <c r="F44" s="25"/>
      <c r="G44" s="25"/>
      <c r="H44" s="25"/>
      <c r="I44" s="25"/>
      <c r="J44" s="24"/>
      <c r="K44" s="25"/>
      <c r="L44" s="25"/>
      <c r="M44" s="25"/>
      <c r="N44" s="25"/>
      <c r="O44" s="25"/>
      <c r="P44" s="25"/>
      <c r="Q44" s="25"/>
      <c r="R44" s="24">
        <f t="shared" si="3"/>
        <v>0</v>
      </c>
      <c r="S44" s="26">
        <f t="shared" si="1"/>
        <v>0</v>
      </c>
      <c r="T44" s="26">
        <f>COUNTIF($V$4:V44,V44)</f>
        <v>1</v>
      </c>
      <c r="U44" s="26">
        <f>IF(T44=1,COUNTIF($T$4:T44,1),"")</f>
        <v>10</v>
      </c>
      <c r="V44" s="27" t="str">
        <f t="shared" si="4"/>
        <v/>
      </c>
      <c r="W44" s="27">
        <f t="shared" si="2"/>
        <v>0</v>
      </c>
      <c r="X44" s="28">
        <v>40</v>
      </c>
      <c r="Y44" s="37" t="str">
        <f t="shared" si="7"/>
        <v/>
      </c>
      <c r="Z44" s="30" t="str">
        <f t="shared" si="7"/>
        <v/>
      </c>
      <c r="AA44" s="30" t="str">
        <f t="shared" si="7"/>
        <v/>
      </c>
      <c r="AB44" s="30" t="str">
        <f t="shared" si="7"/>
        <v/>
      </c>
      <c r="AC44" s="30" t="str">
        <f t="shared" si="7"/>
        <v/>
      </c>
      <c r="AD44" s="30" t="str">
        <f t="shared" si="7"/>
        <v/>
      </c>
      <c r="AE44" s="30" t="str">
        <f t="shared" si="7"/>
        <v/>
      </c>
      <c r="AF44" s="30" t="str">
        <f t="shared" si="7"/>
        <v/>
      </c>
      <c r="AG44" s="30" t="str">
        <f t="shared" si="7"/>
        <v/>
      </c>
      <c r="AH44" s="30">
        <f t="shared" si="7"/>
        <v>0</v>
      </c>
      <c r="AI44" s="30" t="str">
        <f t="shared" si="7"/>
        <v/>
      </c>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5"/>
      <c r="CT44" s="35"/>
      <c r="CU44" s="35"/>
      <c r="CV44" s="35"/>
      <c r="CW44" s="35"/>
      <c r="CX44" s="35"/>
      <c r="CY44" s="35"/>
      <c r="CZ44" s="36"/>
      <c r="DA44" s="36"/>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c r="IW44" s="12"/>
    </row>
    <row r="45" spans="1:257" s="33" customFormat="1" ht="11.25" customHeight="1">
      <c r="A45" s="34"/>
      <c r="B45" s="24"/>
      <c r="C45" s="24"/>
      <c r="D45" s="24"/>
      <c r="E45" s="1158"/>
      <c r="F45" s="25"/>
      <c r="G45" s="25"/>
      <c r="H45" s="25"/>
      <c r="I45" s="25"/>
      <c r="J45" s="24"/>
      <c r="K45" s="25"/>
      <c r="L45" s="25"/>
      <c r="M45" s="25"/>
      <c r="N45" s="25"/>
      <c r="O45" s="25"/>
      <c r="P45" s="25"/>
      <c r="Q45" s="25"/>
      <c r="R45" s="24">
        <f t="shared" si="3"/>
        <v>0</v>
      </c>
      <c r="S45" s="26">
        <f t="shared" si="1"/>
        <v>0</v>
      </c>
      <c r="T45" s="26">
        <f>COUNTIF($V$4:V45,V45)</f>
        <v>2</v>
      </c>
      <c r="U45" s="26" t="str">
        <f>IF(T45=1,COUNTIF($T$4:T45,1),"")</f>
        <v/>
      </c>
      <c r="V45" s="27" t="str">
        <f t="shared" si="4"/>
        <v/>
      </c>
      <c r="W45" s="27">
        <f t="shared" si="2"/>
        <v>0</v>
      </c>
      <c r="X45" s="28">
        <v>41</v>
      </c>
      <c r="Y45" s="37" t="str">
        <f t="shared" si="7"/>
        <v/>
      </c>
      <c r="Z45" s="30" t="str">
        <f t="shared" si="7"/>
        <v/>
      </c>
      <c r="AA45" s="30" t="str">
        <f t="shared" si="7"/>
        <v/>
      </c>
      <c r="AB45" s="30" t="str">
        <f t="shared" si="7"/>
        <v/>
      </c>
      <c r="AC45" s="30" t="str">
        <f t="shared" si="7"/>
        <v/>
      </c>
      <c r="AD45" s="30" t="str">
        <f t="shared" si="7"/>
        <v/>
      </c>
      <c r="AE45" s="30" t="str">
        <f t="shared" si="7"/>
        <v/>
      </c>
      <c r="AF45" s="30" t="str">
        <f t="shared" si="7"/>
        <v/>
      </c>
      <c r="AG45" s="30" t="str">
        <f t="shared" si="7"/>
        <v/>
      </c>
      <c r="AH45" s="30">
        <f t="shared" si="7"/>
        <v>0</v>
      </c>
      <c r="AI45" s="30" t="str">
        <f t="shared" si="7"/>
        <v/>
      </c>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5"/>
      <c r="CT45" s="35"/>
      <c r="CU45" s="35"/>
      <c r="CV45" s="35"/>
      <c r="CW45" s="35"/>
      <c r="CX45" s="35"/>
      <c r="CY45" s="35"/>
      <c r="CZ45" s="36"/>
      <c r="DA45" s="36"/>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row>
    <row r="46" spans="1:257" ht="11.25" customHeight="1">
      <c r="A46" s="34"/>
      <c r="B46" s="24"/>
      <c r="C46" s="24"/>
      <c r="D46" s="24"/>
      <c r="E46" s="1158"/>
      <c r="F46" s="25"/>
      <c r="G46" s="25"/>
      <c r="H46" s="25"/>
      <c r="I46" s="25"/>
      <c r="J46" s="24"/>
      <c r="K46" s="25"/>
      <c r="L46" s="25"/>
      <c r="M46" s="25"/>
      <c r="N46" s="25"/>
      <c r="O46" s="25"/>
      <c r="P46" s="25"/>
      <c r="Q46" s="25"/>
      <c r="R46" s="24">
        <f t="shared" si="3"/>
        <v>0</v>
      </c>
      <c r="S46" s="26">
        <f t="shared" si="1"/>
        <v>0</v>
      </c>
      <c r="T46" s="26">
        <f>COUNTIF($V$4:V46,V46)</f>
        <v>3</v>
      </c>
      <c r="U46" s="26" t="str">
        <f>IF(T46=1,COUNTIF($T$4:T46,1),"")</f>
        <v/>
      </c>
      <c r="V46" s="27" t="str">
        <f t="shared" si="4"/>
        <v/>
      </c>
      <c r="W46" s="27">
        <f t="shared" si="2"/>
        <v>0</v>
      </c>
      <c r="X46" s="28">
        <v>42</v>
      </c>
      <c r="Y46" s="37" t="str">
        <f t="shared" si="7"/>
        <v/>
      </c>
      <c r="Z46" s="30" t="str">
        <f t="shared" si="7"/>
        <v/>
      </c>
      <c r="AA46" s="30" t="str">
        <f t="shared" si="7"/>
        <v/>
      </c>
      <c r="AB46" s="30" t="str">
        <f t="shared" si="7"/>
        <v/>
      </c>
      <c r="AC46" s="30" t="str">
        <f t="shared" si="7"/>
        <v/>
      </c>
      <c r="AD46" s="30" t="str">
        <f t="shared" si="7"/>
        <v/>
      </c>
      <c r="AE46" s="30" t="str">
        <f t="shared" si="7"/>
        <v/>
      </c>
      <c r="AF46" s="30" t="str">
        <f t="shared" si="7"/>
        <v/>
      </c>
      <c r="AG46" s="30" t="str">
        <f t="shared" si="7"/>
        <v/>
      </c>
      <c r="AH46" s="30">
        <f t="shared" si="7"/>
        <v>0</v>
      </c>
      <c r="AI46" s="30" t="str">
        <f t="shared" si="7"/>
        <v/>
      </c>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5"/>
      <c r="CT46" s="35"/>
      <c r="CU46" s="35"/>
      <c r="CV46" s="35"/>
      <c r="CW46" s="35"/>
      <c r="CX46" s="35"/>
      <c r="CY46" s="35"/>
      <c r="CZ46" s="36"/>
      <c r="DA46" s="36"/>
    </row>
    <row r="47" spans="1:257" s="38" customFormat="1" ht="11.25" customHeight="1">
      <c r="A47" s="34"/>
      <c r="B47" s="24"/>
      <c r="C47" s="24"/>
      <c r="D47" s="24"/>
      <c r="E47" s="1158"/>
      <c r="F47" s="25"/>
      <c r="G47" s="25"/>
      <c r="H47" s="25"/>
      <c r="I47" s="25"/>
      <c r="J47" s="24"/>
      <c r="K47" s="25"/>
      <c r="L47" s="25"/>
      <c r="M47" s="25"/>
      <c r="N47" s="25"/>
      <c r="O47" s="25"/>
      <c r="P47" s="25"/>
      <c r="Q47" s="25"/>
      <c r="R47" s="24"/>
      <c r="S47" s="26">
        <f t="shared" si="1"/>
        <v>0</v>
      </c>
      <c r="T47" s="26">
        <f>COUNTIF($V$4:V47,V47)</f>
        <v>4</v>
      </c>
      <c r="U47" s="26" t="str">
        <f>IF(T47=1,COUNTIF($T$4:T47,1),"")</f>
        <v/>
      </c>
      <c r="V47" s="27" t="str">
        <f t="shared" si="4"/>
        <v/>
      </c>
      <c r="W47" s="27">
        <f t="shared" si="2"/>
        <v>0</v>
      </c>
      <c r="X47" s="28">
        <v>43</v>
      </c>
      <c r="Y47" s="37" t="str">
        <f t="shared" si="7"/>
        <v/>
      </c>
      <c r="Z47" s="30" t="str">
        <f t="shared" si="7"/>
        <v/>
      </c>
      <c r="AA47" s="30" t="str">
        <f t="shared" si="7"/>
        <v/>
      </c>
      <c r="AB47" s="30" t="str">
        <f t="shared" si="7"/>
        <v/>
      </c>
      <c r="AC47" s="30" t="str">
        <f t="shared" si="7"/>
        <v/>
      </c>
      <c r="AD47" s="30" t="str">
        <f t="shared" si="7"/>
        <v/>
      </c>
      <c r="AE47" s="30" t="str">
        <f t="shared" si="7"/>
        <v/>
      </c>
      <c r="AF47" s="30" t="str">
        <f t="shared" si="7"/>
        <v/>
      </c>
      <c r="AG47" s="30" t="str">
        <f t="shared" si="7"/>
        <v/>
      </c>
      <c r="AH47" s="30">
        <f t="shared" si="7"/>
        <v>0</v>
      </c>
      <c r="AI47" s="30" t="str">
        <f t="shared" si="7"/>
        <v/>
      </c>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5"/>
      <c r="CT47" s="35"/>
      <c r="CU47" s="35"/>
      <c r="CV47" s="35"/>
      <c r="CW47" s="35"/>
      <c r="CX47" s="35"/>
      <c r="CY47" s="35"/>
      <c r="CZ47" s="36"/>
      <c r="DA47" s="36"/>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c r="IW47" s="12"/>
    </row>
    <row r="48" spans="1:257" ht="11.25" customHeight="1">
      <c r="A48" s="34"/>
      <c r="B48" s="24"/>
      <c r="C48" s="24"/>
      <c r="D48" s="24"/>
      <c r="E48" s="24"/>
      <c r="F48" s="25"/>
      <c r="G48" s="25"/>
      <c r="H48" s="25"/>
      <c r="I48" s="25"/>
      <c r="J48" s="24"/>
      <c r="K48" s="25"/>
      <c r="L48" s="25"/>
      <c r="M48" s="25"/>
      <c r="N48" s="25"/>
      <c r="O48" s="25"/>
      <c r="P48" s="25"/>
      <c r="Q48" s="25"/>
      <c r="R48" s="24"/>
      <c r="S48" s="26">
        <f t="shared" si="1"/>
        <v>0</v>
      </c>
      <c r="T48" s="26">
        <f>COUNTIF($V$4:V48,V48)</f>
        <v>5</v>
      </c>
      <c r="U48" s="26" t="str">
        <f>IF(T48=1,COUNTIF($T$4:T48,1),"")</f>
        <v/>
      </c>
      <c r="V48" s="27" t="str">
        <f t="shared" si="4"/>
        <v/>
      </c>
      <c r="W48" s="27">
        <f t="shared" si="2"/>
        <v>0</v>
      </c>
      <c r="X48" s="28">
        <v>44</v>
      </c>
      <c r="Y48" s="37" t="str">
        <f t="shared" si="7"/>
        <v/>
      </c>
      <c r="Z48" s="30" t="str">
        <f t="shared" si="7"/>
        <v/>
      </c>
      <c r="AA48" s="30" t="str">
        <f t="shared" si="7"/>
        <v/>
      </c>
      <c r="AB48" s="30" t="str">
        <f t="shared" si="7"/>
        <v/>
      </c>
      <c r="AC48" s="30" t="str">
        <f t="shared" si="7"/>
        <v/>
      </c>
      <c r="AD48" s="30" t="str">
        <f t="shared" si="7"/>
        <v/>
      </c>
      <c r="AE48" s="30" t="str">
        <f t="shared" si="7"/>
        <v/>
      </c>
      <c r="AF48" s="30" t="str">
        <f t="shared" si="7"/>
        <v/>
      </c>
      <c r="AG48" s="30" t="str">
        <f t="shared" si="7"/>
        <v/>
      </c>
      <c r="AH48" s="30">
        <f t="shared" si="7"/>
        <v>0</v>
      </c>
      <c r="AI48" s="30" t="str">
        <f t="shared" si="7"/>
        <v/>
      </c>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5"/>
      <c r="CT48" s="35"/>
      <c r="CU48" s="35"/>
      <c r="CV48" s="35"/>
      <c r="CW48" s="35"/>
      <c r="CX48" s="35"/>
      <c r="CY48" s="35"/>
      <c r="CZ48" s="36"/>
      <c r="DA48" s="36"/>
    </row>
    <row r="49" spans="1:105" ht="11.25" customHeight="1">
      <c r="A49" s="34"/>
      <c r="B49" s="24"/>
      <c r="C49" s="24"/>
      <c r="D49" s="24"/>
      <c r="E49" s="24"/>
      <c r="F49" s="25"/>
      <c r="G49" s="25"/>
      <c r="H49" s="25"/>
      <c r="I49" s="25"/>
      <c r="J49" s="24"/>
      <c r="K49" s="25"/>
      <c r="L49" s="25"/>
      <c r="M49" s="25"/>
      <c r="N49" s="25"/>
      <c r="O49" s="25"/>
      <c r="P49" s="25"/>
      <c r="Q49" s="25"/>
      <c r="R49" s="24"/>
      <c r="S49" s="26">
        <f t="shared" si="1"/>
        <v>0</v>
      </c>
      <c r="T49" s="26">
        <f>COUNTIF($V$4:V49,V49)</f>
        <v>6</v>
      </c>
      <c r="U49" s="26" t="str">
        <f>IF(T49=1,COUNTIF($T$4:T49,1),"")</f>
        <v/>
      </c>
      <c r="V49" s="27" t="str">
        <f t="shared" si="4"/>
        <v/>
      </c>
      <c r="W49" s="27">
        <f t="shared" si="2"/>
        <v>0</v>
      </c>
      <c r="X49" s="28">
        <v>45</v>
      </c>
      <c r="Y49" s="37" t="str">
        <f t="shared" si="7"/>
        <v/>
      </c>
      <c r="Z49" s="30" t="str">
        <f t="shared" si="7"/>
        <v/>
      </c>
      <c r="AA49" s="30" t="str">
        <f t="shared" si="7"/>
        <v/>
      </c>
      <c r="AB49" s="30" t="str">
        <f t="shared" si="7"/>
        <v/>
      </c>
      <c r="AC49" s="30" t="str">
        <f t="shared" si="7"/>
        <v/>
      </c>
      <c r="AD49" s="30" t="str">
        <f t="shared" si="7"/>
        <v/>
      </c>
      <c r="AE49" s="30" t="str">
        <f t="shared" si="7"/>
        <v/>
      </c>
      <c r="AF49" s="30" t="str">
        <f t="shared" si="7"/>
        <v/>
      </c>
      <c r="AG49" s="30" t="str">
        <f t="shared" si="7"/>
        <v/>
      </c>
      <c r="AH49" s="30">
        <f t="shared" si="7"/>
        <v>0</v>
      </c>
      <c r="AI49" s="30" t="str">
        <f t="shared" si="7"/>
        <v/>
      </c>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5"/>
      <c r="CT49" s="35"/>
      <c r="CU49" s="35"/>
      <c r="CV49" s="35"/>
      <c r="CW49" s="35"/>
      <c r="CX49" s="35"/>
      <c r="CY49" s="35"/>
      <c r="CZ49" s="36"/>
      <c r="DA49" s="36"/>
    </row>
    <row r="50" spans="1:105" ht="11.25" customHeight="1">
      <c r="A50" s="34"/>
      <c r="B50" s="24"/>
      <c r="C50" s="24"/>
      <c r="D50" s="24"/>
      <c r="E50" s="24"/>
      <c r="F50" s="25"/>
      <c r="G50" s="25"/>
      <c r="H50" s="25"/>
      <c r="I50" s="25"/>
      <c r="J50" s="24"/>
      <c r="K50" s="25"/>
      <c r="L50" s="25"/>
      <c r="M50" s="25"/>
      <c r="N50" s="25"/>
      <c r="O50" s="25"/>
      <c r="P50" s="25"/>
      <c r="Q50" s="25"/>
      <c r="R50" s="24"/>
      <c r="S50" s="26">
        <f t="shared" si="1"/>
        <v>0</v>
      </c>
      <c r="T50" s="26">
        <f>COUNTIF($V$4:V50,V50)</f>
        <v>7</v>
      </c>
      <c r="U50" s="26" t="str">
        <f>IF(T50=1,COUNTIF($T$4:T50,1),"")</f>
        <v/>
      </c>
      <c r="V50" s="27" t="str">
        <f t="shared" si="4"/>
        <v/>
      </c>
      <c r="W50" s="27">
        <f t="shared" si="2"/>
        <v>0</v>
      </c>
      <c r="X50" s="28">
        <v>46</v>
      </c>
      <c r="Y50" s="37" t="str">
        <f t="shared" si="7"/>
        <v/>
      </c>
      <c r="Z50" s="30" t="str">
        <f t="shared" si="7"/>
        <v/>
      </c>
      <c r="AA50" s="30" t="str">
        <f t="shared" si="7"/>
        <v/>
      </c>
      <c r="AB50" s="30" t="str">
        <f t="shared" si="7"/>
        <v/>
      </c>
      <c r="AC50" s="30" t="str">
        <f t="shared" si="7"/>
        <v/>
      </c>
      <c r="AD50" s="30" t="str">
        <f t="shared" si="7"/>
        <v/>
      </c>
      <c r="AE50" s="30" t="str">
        <f t="shared" si="7"/>
        <v/>
      </c>
      <c r="AF50" s="30" t="str">
        <f t="shared" si="7"/>
        <v/>
      </c>
      <c r="AG50" s="30" t="str">
        <f t="shared" si="7"/>
        <v/>
      </c>
      <c r="AH50" s="30">
        <f t="shared" si="7"/>
        <v>0</v>
      </c>
      <c r="AI50" s="30" t="str">
        <f t="shared" si="7"/>
        <v/>
      </c>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5"/>
      <c r="CT50" s="35"/>
      <c r="CU50" s="35"/>
      <c r="CV50" s="35"/>
      <c r="CW50" s="35"/>
      <c r="CX50" s="35"/>
      <c r="CY50" s="35"/>
      <c r="CZ50" s="36"/>
      <c r="DA50" s="36"/>
    </row>
    <row r="51" spans="1:105" ht="11.25" customHeight="1">
      <c r="A51" s="34"/>
      <c r="B51" s="24"/>
      <c r="C51" s="24"/>
      <c r="D51" s="24"/>
      <c r="E51" s="24"/>
      <c r="F51" s="25"/>
      <c r="G51" s="25"/>
      <c r="H51" s="25"/>
      <c r="I51" s="25"/>
      <c r="J51" s="24"/>
      <c r="K51" s="25"/>
      <c r="L51" s="25"/>
      <c r="M51" s="25"/>
      <c r="N51" s="25"/>
      <c r="O51" s="25"/>
      <c r="P51" s="25"/>
      <c r="Q51" s="25"/>
      <c r="R51" s="24"/>
      <c r="S51" s="26">
        <f t="shared" si="1"/>
        <v>0</v>
      </c>
      <c r="T51" s="26">
        <f>COUNTIF($V$4:V51,V51)</f>
        <v>8</v>
      </c>
      <c r="U51" s="26" t="str">
        <f>IF(T51=1,COUNTIF($T$4:T51,1),"")</f>
        <v/>
      </c>
      <c r="V51" s="27" t="str">
        <f t="shared" si="4"/>
        <v/>
      </c>
      <c r="W51" s="27">
        <f t="shared" si="2"/>
        <v>0</v>
      </c>
      <c r="X51" s="28">
        <v>47</v>
      </c>
      <c r="Y51" s="39" t="str">
        <f t="shared" si="7"/>
        <v/>
      </c>
      <c r="Z51" s="40" t="str">
        <f t="shared" si="7"/>
        <v/>
      </c>
      <c r="AA51" s="40" t="str">
        <f t="shared" si="7"/>
        <v/>
      </c>
      <c r="AB51" s="40" t="str">
        <f t="shared" si="7"/>
        <v/>
      </c>
      <c r="AC51" s="40" t="str">
        <f t="shared" si="7"/>
        <v/>
      </c>
      <c r="AD51" s="40" t="str">
        <f t="shared" si="7"/>
        <v/>
      </c>
      <c r="AE51" s="40" t="str">
        <f t="shared" si="7"/>
        <v/>
      </c>
      <c r="AF51" s="40" t="str">
        <f t="shared" si="7"/>
        <v/>
      </c>
      <c r="AG51" s="40" t="str">
        <f t="shared" si="7"/>
        <v/>
      </c>
      <c r="AH51" s="40">
        <f t="shared" si="7"/>
        <v>0</v>
      </c>
      <c r="AI51" s="40" t="str">
        <f t="shared" si="7"/>
        <v/>
      </c>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1"/>
      <c r="CT51" s="41"/>
      <c r="CU51" s="41"/>
      <c r="CV51" s="41"/>
      <c r="CW51" s="41"/>
      <c r="CX51" s="41"/>
      <c r="CY51" s="41"/>
      <c r="CZ51" s="42"/>
      <c r="DA51" s="42"/>
    </row>
    <row r="52" spans="1:105" ht="11.25" customHeight="1">
      <c r="A52" s="34"/>
      <c r="B52" s="24"/>
      <c r="C52" s="24"/>
      <c r="D52" s="24"/>
      <c r="E52" s="24"/>
      <c r="F52" s="25"/>
      <c r="G52" s="25"/>
      <c r="H52" s="25"/>
      <c r="I52" s="25"/>
      <c r="J52" s="24"/>
      <c r="K52" s="25"/>
      <c r="L52" s="25"/>
      <c r="M52" s="25"/>
      <c r="N52" s="25"/>
      <c r="O52" s="25"/>
      <c r="P52" s="25"/>
      <c r="Q52" s="25"/>
      <c r="R52" s="24"/>
      <c r="S52" s="26">
        <f t="shared" si="1"/>
        <v>0</v>
      </c>
      <c r="T52" s="26">
        <f>COUNTIF($V$4:V52,V52)</f>
        <v>9</v>
      </c>
      <c r="U52" s="26" t="str">
        <f>IF(T52=1,COUNTIF($T$4:T52,1),"")</f>
        <v/>
      </c>
      <c r="V52" s="27" t="str">
        <f t="shared" si="4"/>
        <v/>
      </c>
      <c r="W52" s="27">
        <f t="shared" si="2"/>
        <v>0</v>
      </c>
      <c r="X52" s="28">
        <v>48</v>
      </c>
      <c r="Y52" s="43" t="str">
        <f t="shared" ref="Y52:AN53" si="8">IFERROR(VLOOKUP($X52&amp;Y$3,$W$4:$W$600,2,FALSE),"")</f>
        <v/>
      </c>
      <c r="Z52" s="43" t="str">
        <f t="shared" si="8"/>
        <v/>
      </c>
      <c r="AA52" s="43" t="str">
        <f t="shared" si="8"/>
        <v/>
      </c>
      <c r="AB52" s="43" t="str">
        <f t="shared" si="8"/>
        <v/>
      </c>
      <c r="AC52" s="43" t="str">
        <f t="shared" si="8"/>
        <v/>
      </c>
      <c r="AD52" s="43" t="str">
        <f t="shared" si="8"/>
        <v/>
      </c>
      <c r="AE52" s="43" t="str">
        <f t="shared" si="8"/>
        <v/>
      </c>
      <c r="AF52" s="43" t="str">
        <f t="shared" si="8"/>
        <v/>
      </c>
      <c r="AG52" s="43" t="str">
        <f t="shared" si="8"/>
        <v/>
      </c>
      <c r="AH52" s="43" t="str">
        <f t="shared" si="8"/>
        <v/>
      </c>
      <c r="AI52" s="43" t="str">
        <f t="shared" si="8"/>
        <v/>
      </c>
      <c r="AJ52" s="43" t="str">
        <f t="shared" si="8"/>
        <v/>
      </c>
      <c r="AK52" s="43" t="str">
        <f t="shared" si="8"/>
        <v/>
      </c>
      <c r="AL52" s="43" t="str">
        <f t="shared" si="8"/>
        <v/>
      </c>
      <c r="AM52" s="43" t="str">
        <f t="shared" si="8"/>
        <v/>
      </c>
      <c r="AN52" s="43" t="str">
        <f t="shared" si="8"/>
        <v/>
      </c>
      <c r="AO52" s="43" t="str">
        <f t="shared" ref="AO52:BD53" si="9">IFERROR(VLOOKUP($X52&amp;AO$3,$W$4:$W$600,2,FALSE),"")</f>
        <v/>
      </c>
      <c r="AP52" s="43" t="str">
        <f t="shared" si="9"/>
        <v/>
      </c>
      <c r="AQ52" s="43" t="str">
        <f t="shared" si="9"/>
        <v/>
      </c>
      <c r="AR52" s="43" t="str">
        <f t="shared" si="9"/>
        <v/>
      </c>
      <c r="AS52" s="43" t="str">
        <f t="shared" si="9"/>
        <v/>
      </c>
      <c r="AT52" s="43" t="str">
        <f t="shared" si="9"/>
        <v/>
      </c>
      <c r="AU52" s="43" t="str">
        <f t="shared" si="9"/>
        <v/>
      </c>
      <c r="AV52" s="43" t="str">
        <f t="shared" si="9"/>
        <v/>
      </c>
      <c r="AW52" s="43" t="str">
        <f t="shared" si="9"/>
        <v/>
      </c>
      <c r="AX52" s="43" t="str">
        <f t="shared" si="9"/>
        <v/>
      </c>
      <c r="AY52" s="43" t="str">
        <f t="shared" si="9"/>
        <v/>
      </c>
      <c r="AZ52" s="43" t="str">
        <f t="shared" si="9"/>
        <v/>
      </c>
      <c r="BA52" s="43" t="str">
        <f t="shared" si="9"/>
        <v/>
      </c>
      <c r="BB52" s="43" t="str">
        <f t="shared" si="9"/>
        <v/>
      </c>
      <c r="BC52" s="43" t="str">
        <f t="shared" si="9"/>
        <v/>
      </c>
      <c r="BD52" s="43" t="str">
        <f t="shared" si="9"/>
        <v/>
      </c>
      <c r="BE52" s="43" t="str">
        <f t="shared" ref="BE52:BT53" si="10">IFERROR(VLOOKUP($X52&amp;BE$3,$W$4:$W$600,2,FALSE),"")</f>
        <v/>
      </c>
      <c r="BF52" s="43" t="str">
        <f t="shared" si="10"/>
        <v/>
      </c>
      <c r="BG52" s="43" t="str">
        <f t="shared" si="10"/>
        <v/>
      </c>
      <c r="BH52" s="43" t="str">
        <f t="shared" si="10"/>
        <v/>
      </c>
      <c r="BI52" s="43" t="str">
        <f t="shared" si="10"/>
        <v/>
      </c>
      <c r="BJ52" s="43" t="str">
        <f t="shared" si="10"/>
        <v/>
      </c>
      <c r="BK52" s="43" t="str">
        <f t="shared" si="10"/>
        <v/>
      </c>
      <c r="BL52" s="43" t="str">
        <f t="shared" si="10"/>
        <v/>
      </c>
      <c r="BM52" s="43" t="str">
        <f t="shared" si="10"/>
        <v/>
      </c>
      <c r="BN52" s="43" t="str">
        <f t="shared" si="10"/>
        <v/>
      </c>
      <c r="BO52" s="43" t="str">
        <f t="shared" si="10"/>
        <v/>
      </c>
      <c r="BP52" s="43" t="str">
        <f t="shared" si="10"/>
        <v/>
      </c>
      <c r="BQ52" s="43" t="str">
        <f t="shared" si="10"/>
        <v/>
      </c>
      <c r="BR52" s="43" t="str">
        <f t="shared" si="10"/>
        <v/>
      </c>
      <c r="BS52" s="43" t="str">
        <f t="shared" si="10"/>
        <v/>
      </c>
      <c r="BT52" s="43" t="str">
        <f t="shared" si="10"/>
        <v/>
      </c>
      <c r="BU52" s="43" t="str">
        <f t="shared" ref="BU52:CJ53" si="11">IFERROR(VLOOKUP($X52&amp;BU$3,$W$4:$W$600,2,FALSE),"")</f>
        <v/>
      </c>
      <c r="BV52" s="43" t="str">
        <f t="shared" si="11"/>
        <v/>
      </c>
      <c r="BW52" s="43" t="str">
        <f t="shared" si="11"/>
        <v/>
      </c>
      <c r="BX52" s="43" t="str">
        <f t="shared" si="11"/>
        <v/>
      </c>
      <c r="BY52" s="43" t="str">
        <f t="shared" si="11"/>
        <v/>
      </c>
      <c r="BZ52" s="43" t="str">
        <f t="shared" si="11"/>
        <v/>
      </c>
      <c r="CA52" s="43" t="str">
        <f t="shared" si="11"/>
        <v/>
      </c>
      <c r="CB52" s="43" t="str">
        <f t="shared" si="11"/>
        <v/>
      </c>
      <c r="CC52" s="43" t="str">
        <f t="shared" si="11"/>
        <v/>
      </c>
      <c r="CD52" s="43" t="str">
        <f t="shared" si="11"/>
        <v/>
      </c>
      <c r="CE52" s="43" t="str">
        <f t="shared" si="11"/>
        <v/>
      </c>
      <c r="CF52" s="43" t="str">
        <f t="shared" si="11"/>
        <v/>
      </c>
      <c r="CG52" s="43" t="str">
        <f t="shared" si="11"/>
        <v/>
      </c>
      <c r="CH52" s="43" t="str">
        <f t="shared" si="11"/>
        <v/>
      </c>
      <c r="CI52" s="43" t="str">
        <f t="shared" si="11"/>
        <v/>
      </c>
      <c r="CJ52" s="43" t="str">
        <f t="shared" si="11"/>
        <v/>
      </c>
      <c r="CK52" s="43" t="str">
        <f t="shared" ref="CG52:CR53" si="12">IFERROR(VLOOKUP($X52&amp;CK$3,$W$4:$W$600,2,FALSE),"")</f>
        <v/>
      </c>
      <c r="CL52" s="43" t="str">
        <f t="shared" si="12"/>
        <v/>
      </c>
      <c r="CM52" s="43" t="str">
        <f t="shared" si="12"/>
        <v/>
      </c>
      <c r="CN52" s="43" t="str">
        <f t="shared" si="12"/>
        <v/>
      </c>
      <c r="CO52" s="43" t="str">
        <f t="shared" si="12"/>
        <v/>
      </c>
      <c r="CP52" s="43" t="str">
        <f t="shared" si="12"/>
        <v/>
      </c>
      <c r="CQ52" s="43" t="str">
        <f t="shared" si="12"/>
        <v/>
      </c>
      <c r="CR52" s="43" t="str">
        <f t="shared" si="12"/>
        <v/>
      </c>
    </row>
    <row r="53" spans="1:105" ht="11.25" customHeight="1">
      <c r="A53" s="34"/>
      <c r="B53" s="24"/>
      <c r="C53" s="24"/>
      <c r="D53" s="24"/>
      <c r="E53" s="24"/>
      <c r="F53" s="25"/>
      <c r="G53" s="25"/>
      <c r="H53" s="25"/>
      <c r="I53" s="25"/>
      <c r="J53" s="24"/>
      <c r="K53" s="25"/>
      <c r="L53" s="25"/>
      <c r="M53" s="25"/>
      <c r="N53" s="25"/>
      <c r="O53" s="25"/>
      <c r="P53" s="25"/>
      <c r="Q53" s="25"/>
      <c r="R53" s="24"/>
      <c r="S53" s="26">
        <f t="shared" si="1"/>
        <v>0</v>
      </c>
      <c r="T53" s="26">
        <f>COUNTIF($V$4:V53,V53)</f>
        <v>10</v>
      </c>
      <c r="U53" s="26" t="str">
        <f>IF(T53=1,COUNTIF($T$4:T53,1),"")</f>
        <v/>
      </c>
      <c r="V53" s="27" t="str">
        <f t="shared" si="4"/>
        <v/>
      </c>
      <c r="W53" s="27">
        <f t="shared" si="2"/>
        <v>0</v>
      </c>
      <c r="X53" s="28"/>
      <c r="Y53" s="43" t="str">
        <f t="shared" si="8"/>
        <v/>
      </c>
      <c r="Z53" s="43" t="str">
        <f t="shared" si="8"/>
        <v/>
      </c>
      <c r="AA53" s="43" t="str">
        <f t="shared" si="8"/>
        <v/>
      </c>
      <c r="AB53" s="43" t="str">
        <f t="shared" si="8"/>
        <v/>
      </c>
      <c r="AC53" s="43" t="str">
        <f t="shared" si="8"/>
        <v/>
      </c>
      <c r="AD53" s="43" t="str">
        <f t="shared" si="8"/>
        <v/>
      </c>
      <c r="AE53" s="43" t="str">
        <f t="shared" si="8"/>
        <v/>
      </c>
      <c r="AF53" s="43" t="str">
        <f t="shared" si="8"/>
        <v/>
      </c>
      <c r="AG53" s="43" t="str">
        <f t="shared" si="8"/>
        <v/>
      </c>
      <c r="AH53" s="43" t="str">
        <f t="shared" si="8"/>
        <v/>
      </c>
      <c r="AI53" s="43" t="str">
        <f t="shared" si="8"/>
        <v/>
      </c>
      <c r="AJ53" s="43" t="str">
        <f t="shared" si="8"/>
        <v/>
      </c>
      <c r="AK53" s="43" t="str">
        <f t="shared" si="8"/>
        <v/>
      </c>
      <c r="AL53" s="43" t="str">
        <f t="shared" si="8"/>
        <v/>
      </c>
      <c r="AM53" s="43" t="str">
        <f t="shared" si="8"/>
        <v/>
      </c>
      <c r="AN53" s="43" t="str">
        <f t="shared" si="8"/>
        <v/>
      </c>
      <c r="AO53" s="43" t="str">
        <f t="shared" si="9"/>
        <v/>
      </c>
      <c r="AP53" s="43" t="str">
        <f t="shared" si="9"/>
        <v/>
      </c>
      <c r="AQ53" s="43" t="str">
        <f t="shared" si="9"/>
        <v/>
      </c>
      <c r="AR53" s="43" t="str">
        <f t="shared" si="9"/>
        <v/>
      </c>
      <c r="AS53" s="43" t="str">
        <f t="shared" si="9"/>
        <v/>
      </c>
      <c r="AT53" s="43" t="str">
        <f t="shared" si="9"/>
        <v/>
      </c>
      <c r="AU53" s="43" t="str">
        <f t="shared" si="9"/>
        <v/>
      </c>
      <c r="AV53" s="43" t="str">
        <f t="shared" si="9"/>
        <v/>
      </c>
      <c r="AW53" s="43" t="str">
        <f t="shared" si="9"/>
        <v/>
      </c>
      <c r="AX53" s="43" t="str">
        <f t="shared" si="9"/>
        <v/>
      </c>
      <c r="AY53" s="43" t="str">
        <f t="shared" si="9"/>
        <v/>
      </c>
      <c r="AZ53" s="43" t="str">
        <f t="shared" si="9"/>
        <v/>
      </c>
      <c r="BA53" s="43" t="str">
        <f t="shared" si="9"/>
        <v/>
      </c>
      <c r="BB53" s="43" t="str">
        <f t="shared" si="9"/>
        <v/>
      </c>
      <c r="BC53" s="43" t="str">
        <f t="shared" si="9"/>
        <v/>
      </c>
      <c r="BD53" s="43" t="str">
        <f t="shared" si="9"/>
        <v/>
      </c>
      <c r="BE53" s="43" t="str">
        <f t="shared" si="10"/>
        <v/>
      </c>
      <c r="BF53" s="43" t="str">
        <f t="shared" si="10"/>
        <v/>
      </c>
      <c r="BG53" s="43" t="str">
        <f t="shared" si="10"/>
        <v/>
      </c>
      <c r="BH53" s="43" t="str">
        <f t="shared" si="10"/>
        <v/>
      </c>
      <c r="BI53" s="43" t="str">
        <f t="shared" si="10"/>
        <v/>
      </c>
      <c r="BJ53" s="43" t="str">
        <f t="shared" si="10"/>
        <v/>
      </c>
      <c r="BK53" s="43" t="str">
        <f t="shared" si="10"/>
        <v/>
      </c>
      <c r="BL53" s="43" t="str">
        <f t="shared" si="10"/>
        <v/>
      </c>
      <c r="BM53" s="43" t="str">
        <f t="shared" si="10"/>
        <v/>
      </c>
      <c r="BN53" s="43" t="str">
        <f t="shared" si="10"/>
        <v/>
      </c>
      <c r="BO53" s="43" t="str">
        <f t="shared" si="10"/>
        <v/>
      </c>
      <c r="BP53" s="43" t="str">
        <f t="shared" si="10"/>
        <v/>
      </c>
      <c r="BQ53" s="43" t="str">
        <f t="shared" si="10"/>
        <v/>
      </c>
      <c r="BR53" s="43" t="str">
        <f t="shared" si="10"/>
        <v/>
      </c>
      <c r="BS53" s="43" t="str">
        <f t="shared" si="10"/>
        <v/>
      </c>
      <c r="BT53" s="43" t="str">
        <f t="shared" si="10"/>
        <v/>
      </c>
      <c r="BU53" s="43" t="str">
        <f t="shared" si="11"/>
        <v/>
      </c>
      <c r="BV53" s="43" t="str">
        <f t="shared" si="11"/>
        <v/>
      </c>
      <c r="BW53" s="43" t="str">
        <f t="shared" si="11"/>
        <v/>
      </c>
      <c r="BX53" s="43" t="str">
        <f t="shared" si="11"/>
        <v/>
      </c>
      <c r="BY53" s="43" t="str">
        <f t="shared" si="11"/>
        <v/>
      </c>
      <c r="BZ53" s="43" t="str">
        <f t="shared" si="11"/>
        <v/>
      </c>
      <c r="CA53" s="43" t="str">
        <f t="shared" si="11"/>
        <v/>
      </c>
      <c r="CB53" s="43" t="str">
        <f t="shared" si="11"/>
        <v/>
      </c>
      <c r="CC53" s="43" t="str">
        <f t="shared" si="11"/>
        <v/>
      </c>
      <c r="CD53" s="43" t="str">
        <f t="shared" si="11"/>
        <v/>
      </c>
      <c r="CE53" s="43" t="str">
        <f t="shared" si="11"/>
        <v/>
      </c>
      <c r="CF53" s="43" t="str">
        <f t="shared" si="11"/>
        <v/>
      </c>
      <c r="CG53" s="43" t="str">
        <f t="shared" si="12"/>
        <v/>
      </c>
      <c r="CH53" s="43" t="str">
        <f t="shared" si="12"/>
        <v/>
      </c>
      <c r="CI53" s="43" t="str">
        <f t="shared" si="12"/>
        <v/>
      </c>
      <c r="CJ53" s="43" t="str">
        <f t="shared" si="12"/>
        <v/>
      </c>
      <c r="CK53" s="43" t="str">
        <f t="shared" si="12"/>
        <v/>
      </c>
      <c r="CL53" s="43" t="str">
        <f t="shared" si="12"/>
        <v/>
      </c>
      <c r="CM53" s="43" t="str">
        <f t="shared" si="12"/>
        <v/>
      </c>
      <c r="CN53" s="43" t="str">
        <f t="shared" si="12"/>
        <v/>
      </c>
      <c r="CO53" s="43" t="str">
        <f t="shared" si="12"/>
        <v/>
      </c>
      <c r="CP53" s="43" t="str">
        <f t="shared" si="12"/>
        <v/>
      </c>
      <c r="CQ53" s="43" t="str">
        <f t="shared" si="12"/>
        <v/>
      </c>
      <c r="CR53" s="43" t="str">
        <f t="shared" si="12"/>
        <v/>
      </c>
    </row>
    <row r="54" spans="1:105">
      <c r="A54" s="34"/>
      <c r="B54" s="24"/>
      <c r="C54" s="24"/>
      <c r="D54" s="24"/>
      <c r="E54" s="24"/>
      <c r="F54" s="25"/>
      <c r="G54" s="25"/>
      <c r="H54" s="25"/>
      <c r="I54" s="25"/>
      <c r="J54" s="24"/>
      <c r="K54" s="25"/>
      <c r="L54" s="25"/>
      <c r="M54" s="25"/>
      <c r="N54" s="25"/>
      <c r="O54" s="25"/>
      <c r="P54" s="25"/>
      <c r="Q54" s="25"/>
      <c r="R54" s="24"/>
      <c r="S54" s="26">
        <f t="shared" si="1"/>
        <v>0</v>
      </c>
      <c r="T54" s="26">
        <f>COUNTIF($V$4:V54,V54)</f>
        <v>11</v>
      </c>
      <c r="U54" s="26" t="str">
        <f>IF(T54=1,COUNTIF($T$4:T54,1),"")</f>
        <v/>
      </c>
      <c r="V54" s="27" t="str">
        <f t="shared" si="4"/>
        <v/>
      </c>
      <c r="W54" s="27">
        <f t="shared" si="2"/>
        <v>0</v>
      </c>
      <c r="X54" s="28"/>
      <c r="Y54" s="27"/>
      <c r="Z54" s="27"/>
      <c r="AA54" s="27"/>
      <c r="AF54" s="27"/>
    </row>
    <row r="55" spans="1:105">
      <c r="A55" s="34"/>
      <c r="B55" s="24"/>
      <c r="C55" s="24"/>
      <c r="D55" s="24"/>
      <c r="E55" s="24"/>
      <c r="F55" s="25"/>
      <c r="G55" s="25"/>
      <c r="H55" s="25"/>
      <c r="I55" s="25"/>
      <c r="J55" s="24"/>
      <c r="K55" s="25"/>
      <c r="L55" s="25"/>
      <c r="M55" s="25"/>
      <c r="N55" s="25"/>
      <c r="O55" s="25"/>
      <c r="P55" s="25"/>
      <c r="Q55" s="25"/>
      <c r="R55" s="24"/>
      <c r="S55" s="26">
        <f t="shared" si="1"/>
        <v>0</v>
      </c>
      <c r="T55" s="26">
        <f>COUNTIF($V$4:V55,V55)</f>
        <v>12</v>
      </c>
      <c r="U55" s="26" t="str">
        <f>IF(T55=1,COUNTIF($T$4:T55,1),"")</f>
        <v/>
      </c>
      <c r="V55" s="27" t="str">
        <f t="shared" si="4"/>
        <v/>
      </c>
      <c r="W55" s="27">
        <f t="shared" si="2"/>
        <v>0</v>
      </c>
      <c r="X55" s="28"/>
      <c r="Y55" s="27"/>
      <c r="Z55" s="27"/>
      <c r="AA55" s="27"/>
      <c r="AF55" s="27"/>
    </row>
    <row r="56" spans="1:105" ht="11.25" customHeight="1">
      <c r="A56" s="34"/>
      <c r="B56" s="24"/>
      <c r="C56" s="24"/>
      <c r="D56" s="24"/>
      <c r="E56" s="24"/>
      <c r="F56" s="25"/>
      <c r="G56" s="25"/>
      <c r="H56" s="25"/>
      <c r="I56" s="25"/>
      <c r="J56" s="24"/>
      <c r="K56" s="25"/>
      <c r="L56" s="25"/>
      <c r="M56" s="25"/>
      <c r="N56" s="25"/>
      <c r="O56" s="25"/>
      <c r="P56" s="25"/>
      <c r="Q56" s="25"/>
      <c r="R56" s="24"/>
      <c r="S56" s="26">
        <f t="shared" si="1"/>
        <v>0</v>
      </c>
      <c r="T56" s="26">
        <f>COUNTIF($V$4:V56,V56)</f>
        <v>13</v>
      </c>
      <c r="U56" s="26" t="str">
        <f>IF(T56=1,COUNTIF($T$4:T56,1),"")</f>
        <v/>
      </c>
      <c r="V56" s="27" t="str">
        <f t="shared" si="4"/>
        <v/>
      </c>
      <c r="W56" s="27">
        <f t="shared" si="2"/>
        <v>0</v>
      </c>
      <c r="X56" s="28"/>
      <c r="Y56" s="27"/>
      <c r="Z56" s="27"/>
      <c r="AA56" s="27"/>
      <c r="AF56" s="27"/>
    </row>
    <row r="57" spans="1:105">
      <c r="A57" s="34"/>
      <c r="B57" s="24"/>
      <c r="C57" s="24"/>
      <c r="D57" s="24"/>
      <c r="E57" s="24"/>
      <c r="F57" s="25"/>
      <c r="G57" s="25"/>
      <c r="H57" s="25"/>
      <c r="I57" s="25"/>
      <c r="J57" s="24"/>
      <c r="K57" s="25"/>
      <c r="L57" s="25"/>
      <c r="M57" s="25"/>
      <c r="N57" s="25"/>
      <c r="O57" s="25"/>
      <c r="P57" s="25"/>
      <c r="Q57" s="25"/>
      <c r="R57" s="24"/>
      <c r="S57" s="26">
        <f t="shared" si="1"/>
        <v>0</v>
      </c>
      <c r="T57" s="26">
        <f>COUNTIF($V$4:V57,V57)</f>
        <v>14</v>
      </c>
      <c r="U57" s="26" t="str">
        <f>IF(T57=1,COUNTIF($T$4:T57,1),"")</f>
        <v/>
      </c>
      <c r="V57" s="27" t="str">
        <f t="shared" si="4"/>
        <v/>
      </c>
      <c r="W57" s="27">
        <f t="shared" si="2"/>
        <v>0</v>
      </c>
      <c r="X57" s="28"/>
      <c r="Y57" s="27"/>
      <c r="Z57" s="27"/>
      <c r="AA57" s="27"/>
      <c r="AF57" s="27"/>
    </row>
    <row r="58" spans="1:105" ht="11.25" customHeight="1">
      <c r="A58" s="34"/>
      <c r="B58" s="24"/>
      <c r="C58" s="24"/>
      <c r="D58" s="24"/>
      <c r="E58" s="24"/>
      <c r="F58" s="25"/>
      <c r="G58" s="25"/>
      <c r="H58" s="25"/>
      <c r="I58" s="25"/>
      <c r="J58" s="24"/>
      <c r="K58" s="25"/>
      <c r="L58" s="25"/>
      <c r="M58" s="25"/>
      <c r="N58" s="25"/>
      <c r="O58" s="25"/>
      <c r="P58" s="25"/>
      <c r="Q58" s="25"/>
      <c r="R58" s="24"/>
      <c r="S58" s="26">
        <f t="shared" si="1"/>
        <v>0</v>
      </c>
      <c r="T58" s="26">
        <f>COUNTIF($V$4:V58,V58)</f>
        <v>15</v>
      </c>
      <c r="U58" s="26" t="str">
        <f>IF(T58=1,COUNTIF($T$4:T58,1),"")</f>
        <v/>
      </c>
      <c r="V58" s="27" t="str">
        <f t="shared" si="4"/>
        <v/>
      </c>
      <c r="W58" s="27">
        <f t="shared" si="2"/>
        <v>0</v>
      </c>
      <c r="X58" s="28"/>
      <c r="Y58" s="27"/>
      <c r="Z58" s="27"/>
      <c r="AA58" s="27"/>
      <c r="AF58" s="27"/>
    </row>
    <row r="59" spans="1:105" ht="11.25" customHeight="1">
      <c r="A59" s="34"/>
      <c r="B59" s="24"/>
      <c r="C59" s="24"/>
      <c r="D59" s="24"/>
      <c r="E59" s="24"/>
      <c r="F59" s="25"/>
      <c r="G59" s="25"/>
      <c r="H59" s="25"/>
      <c r="I59" s="25"/>
      <c r="J59" s="24"/>
      <c r="K59" s="25"/>
      <c r="L59" s="25"/>
      <c r="M59" s="25"/>
      <c r="N59" s="25"/>
      <c r="O59" s="25"/>
      <c r="P59" s="25"/>
      <c r="Q59" s="25"/>
      <c r="R59" s="24"/>
      <c r="S59" s="26">
        <f t="shared" si="1"/>
        <v>0</v>
      </c>
      <c r="T59" s="26">
        <f>COUNTIF($V$4:V59,V59)</f>
        <v>16</v>
      </c>
      <c r="U59" s="26" t="str">
        <f>IF(T59=1,COUNTIF($T$4:T59,1),"")</f>
        <v/>
      </c>
      <c r="V59" s="27" t="str">
        <f t="shared" si="4"/>
        <v/>
      </c>
      <c r="W59" s="27">
        <f t="shared" si="2"/>
        <v>0</v>
      </c>
      <c r="X59" s="28"/>
      <c r="Y59" s="27"/>
      <c r="Z59" s="27"/>
      <c r="AA59" s="27"/>
    </row>
    <row r="60" spans="1:105" ht="11.25" customHeight="1">
      <c r="A60" s="34"/>
      <c r="B60" s="24"/>
      <c r="C60" s="24"/>
      <c r="D60" s="24"/>
      <c r="E60" s="24"/>
      <c r="F60" s="25"/>
      <c r="G60" s="25"/>
      <c r="H60" s="25"/>
      <c r="I60" s="25"/>
      <c r="J60" s="24"/>
      <c r="K60" s="25"/>
      <c r="L60" s="25"/>
      <c r="M60" s="25"/>
      <c r="N60" s="25"/>
      <c r="O60" s="25"/>
      <c r="P60" s="25"/>
      <c r="Q60" s="25"/>
      <c r="R60" s="24"/>
      <c r="S60" s="26">
        <f t="shared" si="1"/>
        <v>0</v>
      </c>
      <c r="T60" s="26">
        <f>COUNTIF($V$4:V60,V60)</f>
        <v>17</v>
      </c>
      <c r="U60" s="26" t="str">
        <f>IF(T60=1,COUNTIF($T$4:T60,1),"")</f>
        <v/>
      </c>
      <c r="V60" s="27" t="str">
        <f t="shared" si="4"/>
        <v/>
      </c>
      <c r="W60" s="27">
        <f t="shared" si="2"/>
        <v>0</v>
      </c>
      <c r="X60" s="28"/>
      <c r="Y60" s="27"/>
      <c r="Z60" s="27"/>
      <c r="AA60" s="27"/>
    </row>
    <row r="61" spans="1:105" ht="11.25" customHeight="1">
      <c r="A61" s="34"/>
      <c r="B61" s="24"/>
      <c r="C61" s="24"/>
      <c r="D61" s="24"/>
      <c r="E61" s="24"/>
      <c r="F61" s="25"/>
      <c r="G61" s="25"/>
      <c r="H61" s="25"/>
      <c r="I61" s="25"/>
      <c r="J61" s="24"/>
      <c r="K61" s="25"/>
      <c r="L61" s="25"/>
      <c r="M61" s="25"/>
      <c r="N61" s="25"/>
      <c r="O61" s="25"/>
      <c r="P61" s="25"/>
      <c r="Q61" s="25"/>
      <c r="R61" s="24"/>
      <c r="S61" s="26">
        <f t="shared" si="1"/>
        <v>0</v>
      </c>
      <c r="T61" s="26">
        <f>COUNTIF($V$4:V61,V61)</f>
        <v>18</v>
      </c>
      <c r="U61" s="26" t="str">
        <f>IF(T61=1,COUNTIF($T$4:T61,1),"")</f>
        <v/>
      </c>
      <c r="V61" s="27" t="str">
        <f t="shared" si="4"/>
        <v/>
      </c>
      <c r="W61" s="27">
        <f t="shared" si="2"/>
        <v>0</v>
      </c>
      <c r="X61" s="28"/>
      <c r="Y61" s="27"/>
      <c r="Z61" s="27"/>
      <c r="AA61" s="27"/>
    </row>
    <row r="62" spans="1:105" ht="11.25" customHeight="1">
      <c r="A62" s="34"/>
      <c r="B62" s="24"/>
      <c r="C62" s="24"/>
      <c r="D62" s="24"/>
      <c r="E62" s="24"/>
      <c r="F62" s="25"/>
      <c r="G62" s="25"/>
      <c r="H62" s="25"/>
      <c r="I62" s="25"/>
      <c r="J62" s="24"/>
      <c r="K62" s="25"/>
      <c r="L62" s="25"/>
      <c r="M62" s="25"/>
      <c r="N62" s="25"/>
      <c r="O62" s="25"/>
      <c r="P62" s="25"/>
      <c r="Q62" s="25"/>
      <c r="R62" s="24"/>
      <c r="S62" s="26">
        <f t="shared" si="1"/>
        <v>0</v>
      </c>
      <c r="T62" s="26">
        <f>COUNTIF($V$4:V62,V62)</f>
        <v>19</v>
      </c>
      <c r="U62" s="26" t="str">
        <f>IF(T62=1,COUNTIF($T$4:T62,1),"")</f>
        <v/>
      </c>
      <c r="V62" s="27" t="str">
        <f t="shared" si="4"/>
        <v/>
      </c>
      <c r="W62" s="27">
        <f t="shared" si="2"/>
        <v>0</v>
      </c>
      <c r="X62" s="28"/>
      <c r="Y62" s="27"/>
      <c r="Z62" s="27"/>
      <c r="AA62" s="27"/>
    </row>
    <row r="63" spans="1:105" ht="11.25" customHeight="1">
      <c r="A63" s="34"/>
      <c r="B63" s="24"/>
      <c r="C63" s="24"/>
      <c r="D63" s="24"/>
      <c r="E63" s="24"/>
      <c r="F63" s="25"/>
      <c r="G63" s="25"/>
      <c r="H63" s="25"/>
      <c r="I63" s="25"/>
      <c r="J63" s="24"/>
      <c r="K63" s="25"/>
      <c r="L63" s="25"/>
      <c r="M63" s="25"/>
      <c r="N63" s="25"/>
      <c r="O63" s="25"/>
      <c r="P63" s="25"/>
      <c r="Q63" s="25"/>
      <c r="R63" s="24"/>
      <c r="S63" s="26">
        <f t="shared" si="1"/>
        <v>0</v>
      </c>
      <c r="T63" s="26">
        <f>COUNTIF($V$4:V63,V63)</f>
        <v>20</v>
      </c>
      <c r="U63" s="26" t="str">
        <f>IF(T63=1,COUNTIF($T$4:T63,1),"")</f>
        <v/>
      </c>
      <c r="V63" s="27" t="str">
        <f t="shared" si="4"/>
        <v/>
      </c>
      <c r="W63" s="27">
        <f t="shared" si="2"/>
        <v>0</v>
      </c>
      <c r="X63" s="28"/>
      <c r="Y63" s="27"/>
      <c r="Z63" s="27"/>
      <c r="AA63" s="27"/>
    </row>
    <row r="64" spans="1:105" ht="11.25" customHeight="1">
      <c r="A64" s="34"/>
      <c r="B64" s="24"/>
      <c r="C64" s="24"/>
      <c r="D64" s="24"/>
      <c r="E64" s="24"/>
      <c r="F64" s="25"/>
      <c r="G64" s="25"/>
      <c r="H64" s="25"/>
      <c r="I64" s="25"/>
      <c r="J64" s="24"/>
      <c r="K64" s="25"/>
      <c r="L64" s="25"/>
      <c r="M64" s="25"/>
      <c r="N64" s="25"/>
      <c r="O64" s="25"/>
      <c r="P64" s="25"/>
      <c r="Q64" s="25"/>
      <c r="R64" s="24"/>
      <c r="S64" s="26">
        <f t="shared" si="1"/>
        <v>0</v>
      </c>
      <c r="T64" s="26">
        <f>COUNTIF($V$4:V64,V64)</f>
        <v>21</v>
      </c>
      <c r="U64" s="26" t="str">
        <f>IF(T64=1,COUNTIF($T$4:T64,1),"")</f>
        <v/>
      </c>
      <c r="V64" s="27" t="str">
        <f t="shared" si="4"/>
        <v/>
      </c>
      <c r="W64" s="27">
        <f t="shared" si="2"/>
        <v>0</v>
      </c>
      <c r="X64" s="28"/>
      <c r="Y64" s="27"/>
      <c r="Z64" s="27"/>
      <c r="AA64" s="27"/>
    </row>
    <row r="65" spans="1:27" ht="11.25" customHeight="1">
      <c r="A65" s="34"/>
      <c r="B65" s="24"/>
      <c r="C65" s="24"/>
      <c r="D65" s="24"/>
      <c r="E65" s="24"/>
      <c r="F65" s="25"/>
      <c r="G65" s="25"/>
      <c r="H65" s="25"/>
      <c r="I65" s="25"/>
      <c r="J65" s="24"/>
      <c r="K65" s="25"/>
      <c r="L65" s="25"/>
      <c r="M65" s="25"/>
      <c r="N65" s="25"/>
      <c r="O65" s="25"/>
      <c r="P65" s="25"/>
      <c r="Q65" s="25"/>
      <c r="R65" s="24"/>
      <c r="S65" s="26">
        <f t="shared" si="1"/>
        <v>0</v>
      </c>
      <c r="T65" s="26">
        <f>COUNTIF($V$4:V65,V65)</f>
        <v>22</v>
      </c>
      <c r="U65" s="26" t="str">
        <f>IF(T65=1,COUNTIF($T$4:T65,1),"")</f>
        <v/>
      </c>
      <c r="V65" s="27" t="str">
        <f t="shared" si="4"/>
        <v/>
      </c>
      <c r="W65" s="27">
        <f t="shared" si="2"/>
        <v>0</v>
      </c>
      <c r="X65" s="28"/>
      <c r="Y65" s="27"/>
      <c r="Z65" s="27"/>
      <c r="AA65" s="27"/>
    </row>
    <row r="66" spans="1:27" ht="11.25" customHeight="1">
      <c r="A66" s="34"/>
      <c r="B66" s="24"/>
      <c r="C66" s="24"/>
      <c r="D66" s="24"/>
      <c r="E66" s="24"/>
      <c r="F66" s="25"/>
      <c r="G66" s="25"/>
      <c r="H66" s="25"/>
      <c r="I66" s="25"/>
      <c r="J66" s="24"/>
      <c r="K66" s="25"/>
      <c r="L66" s="25"/>
      <c r="M66" s="25"/>
      <c r="N66" s="25"/>
      <c r="O66" s="25"/>
      <c r="P66" s="25"/>
      <c r="Q66" s="25"/>
      <c r="R66" s="24"/>
      <c r="S66" s="26">
        <f t="shared" si="1"/>
        <v>0</v>
      </c>
      <c r="T66" s="26">
        <f>COUNTIF($V$4:V66,V66)</f>
        <v>23</v>
      </c>
      <c r="U66" s="26" t="str">
        <f>IF(T66=1,COUNTIF($T$4:T66,1),"")</f>
        <v/>
      </c>
      <c r="V66" s="27" t="str">
        <f t="shared" si="4"/>
        <v/>
      </c>
      <c r="W66" s="27">
        <f t="shared" si="2"/>
        <v>0</v>
      </c>
      <c r="X66" s="28"/>
      <c r="Y66" s="27"/>
      <c r="Z66" s="27"/>
      <c r="AA66" s="27"/>
    </row>
    <row r="67" spans="1:27" ht="11.25" customHeight="1">
      <c r="A67" s="34"/>
      <c r="B67" s="24"/>
      <c r="C67" s="24"/>
      <c r="D67" s="24"/>
      <c r="E67" s="24"/>
      <c r="F67" s="25"/>
      <c r="G67" s="25"/>
      <c r="H67" s="25"/>
      <c r="I67" s="25"/>
      <c r="J67" s="24"/>
      <c r="K67" s="25"/>
      <c r="L67" s="25"/>
      <c r="M67" s="25"/>
      <c r="N67" s="25"/>
      <c r="O67" s="25"/>
      <c r="P67" s="25"/>
      <c r="Q67" s="25"/>
      <c r="R67" s="24"/>
      <c r="S67" s="26">
        <f t="shared" si="1"/>
        <v>0</v>
      </c>
      <c r="T67" s="26">
        <f>COUNTIF($V$4:V67,V67)</f>
        <v>24</v>
      </c>
      <c r="U67" s="26" t="str">
        <f>IF(T67=1,COUNTIF($T$4:T67,1),"")</f>
        <v/>
      </c>
      <c r="V67" s="27" t="str">
        <f t="shared" si="4"/>
        <v/>
      </c>
      <c r="W67" s="27">
        <f t="shared" si="2"/>
        <v>0</v>
      </c>
      <c r="X67" s="28"/>
      <c r="Y67" s="27"/>
      <c r="Z67" s="27"/>
      <c r="AA67" s="27"/>
    </row>
    <row r="68" spans="1:27" ht="11.25" customHeight="1">
      <c r="A68" s="34"/>
      <c r="B68" s="24"/>
      <c r="C68" s="24"/>
      <c r="D68" s="24"/>
      <c r="E68" s="24"/>
      <c r="F68" s="25"/>
      <c r="G68" s="25"/>
      <c r="H68" s="25"/>
      <c r="I68" s="25"/>
      <c r="J68" s="24"/>
      <c r="K68" s="25"/>
      <c r="L68" s="25"/>
      <c r="M68" s="25"/>
      <c r="N68" s="25"/>
      <c r="O68" s="25"/>
      <c r="P68" s="25"/>
      <c r="Q68" s="25"/>
      <c r="R68" s="24"/>
      <c r="S68" s="26">
        <f t="shared" ref="S68:S131" si="13">A68</f>
        <v>0</v>
      </c>
      <c r="T68" s="26">
        <f>COUNTIF($V$4:V68,V68)</f>
        <v>25</v>
      </c>
      <c r="U68" s="26" t="str">
        <f>IF(T68=1,COUNTIF($T$4:T68,1),"")</f>
        <v/>
      </c>
      <c r="V68" s="27" t="str">
        <f t="shared" si="4"/>
        <v/>
      </c>
      <c r="W68" s="27">
        <f t="shared" ref="W68:W131" si="14">$F68</f>
        <v>0</v>
      </c>
      <c r="X68" s="28"/>
      <c r="Y68" s="27"/>
      <c r="Z68" s="27"/>
      <c r="AA68" s="27"/>
    </row>
    <row r="69" spans="1:27" ht="11.25" customHeight="1">
      <c r="A69" s="34"/>
      <c r="B69" s="24"/>
      <c r="C69" s="24"/>
      <c r="D69" s="24"/>
      <c r="E69" s="24"/>
      <c r="F69" s="25"/>
      <c r="G69" s="25"/>
      <c r="H69" s="25"/>
      <c r="I69" s="25"/>
      <c r="J69" s="24"/>
      <c r="K69" s="25"/>
      <c r="L69" s="25"/>
      <c r="M69" s="25"/>
      <c r="N69" s="25"/>
      <c r="O69" s="25"/>
      <c r="P69" s="25"/>
      <c r="Q69" s="25"/>
      <c r="R69" s="24"/>
      <c r="S69" s="26">
        <f t="shared" si="13"/>
        <v>0</v>
      </c>
      <c r="T69" s="26">
        <f>COUNTIF($V$4:V69,V69)</f>
        <v>26</v>
      </c>
      <c r="U69" s="26" t="str">
        <f>IF(T69=1,COUNTIF($T$4:T69,1),"")</f>
        <v/>
      </c>
      <c r="V69" s="27" t="str">
        <f t="shared" ref="V69:V132" si="15">$E69&amp;$C69</f>
        <v/>
      </c>
      <c r="W69" s="27">
        <f t="shared" si="14"/>
        <v>0</v>
      </c>
      <c r="X69" s="28"/>
      <c r="Y69" s="27"/>
      <c r="Z69" s="27"/>
      <c r="AA69" s="27"/>
    </row>
    <row r="70" spans="1:27" ht="11.25" customHeight="1">
      <c r="A70" s="34"/>
      <c r="B70" s="24"/>
      <c r="C70" s="24"/>
      <c r="D70" s="24"/>
      <c r="E70" s="24"/>
      <c r="F70" s="25"/>
      <c r="G70" s="25"/>
      <c r="H70" s="25"/>
      <c r="I70" s="25"/>
      <c r="J70" s="24"/>
      <c r="K70" s="25"/>
      <c r="L70" s="25"/>
      <c r="M70" s="25"/>
      <c r="N70" s="25"/>
      <c r="O70" s="25"/>
      <c r="P70" s="25"/>
      <c r="Q70" s="25"/>
      <c r="R70" s="24"/>
      <c r="S70" s="26">
        <f t="shared" si="13"/>
        <v>0</v>
      </c>
      <c r="T70" s="26">
        <f>COUNTIF($V$4:V70,V70)</f>
        <v>27</v>
      </c>
      <c r="U70" s="26" t="str">
        <f>IF(T70=1,COUNTIF($T$4:T70,1),"")</f>
        <v/>
      </c>
      <c r="V70" s="27" t="str">
        <f t="shared" si="15"/>
        <v/>
      </c>
      <c r="W70" s="27">
        <f t="shared" si="14"/>
        <v>0</v>
      </c>
      <c r="X70" s="28"/>
      <c r="Y70" s="27"/>
      <c r="Z70" s="27"/>
      <c r="AA70" s="27"/>
    </row>
    <row r="71" spans="1:27" ht="11.25" customHeight="1">
      <c r="A71" s="34"/>
      <c r="B71" s="24"/>
      <c r="C71" s="24"/>
      <c r="D71" s="24"/>
      <c r="E71" s="24"/>
      <c r="F71" s="25"/>
      <c r="G71" s="25"/>
      <c r="H71" s="25"/>
      <c r="I71" s="25"/>
      <c r="J71" s="24"/>
      <c r="K71" s="25"/>
      <c r="L71" s="25"/>
      <c r="M71" s="25"/>
      <c r="N71" s="25"/>
      <c r="O71" s="25"/>
      <c r="P71" s="25"/>
      <c r="Q71" s="25"/>
      <c r="R71" s="24"/>
      <c r="S71" s="26">
        <f t="shared" si="13"/>
        <v>0</v>
      </c>
      <c r="T71" s="26">
        <f>COUNTIF($V$4:V71,V71)</f>
        <v>28</v>
      </c>
      <c r="U71" s="26" t="str">
        <f>IF(T71=1,COUNTIF($T$4:T71,1),"")</f>
        <v/>
      </c>
      <c r="V71" s="27" t="str">
        <f t="shared" si="15"/>
        <v/>
      </c>
      <c r="W71" s="27">
        <f t="shared" si="14"/>
        <v>0</v>
      </c>
      <c r="X71" s="28"/>
      <c r="Y71" s="27"/>
      <c r="Z71" s="27"/>
      <c r="AA71" s="27"/>
    </row>
    <row r="72" spans="1:27" ht="11.25" customHeight="1">
      <c r="A72" s="34"/>
      <c r="B72" s="24"/>
      <c r="C72" s="24"/>
      <c r="D72" s="24"/>
      <c r="E72" s="24"/>
      <c r="F72" s="25"/>
      <c r="G72" s="25"/>
      <c r="H72" s="25"/>
      <c r="I72" s="25"/>
      <c r="J72" s="24"/>
      <c r="K72" s="25"/>
      <c r="L72" s="25"/>
      <c r="M72" s="25"/>
      <c r="N72" s="25"/>
      <c r="O72" s="25"/>
      <c r="P72" s="25"/>
      <c r="Q72" s="25"/>
      <c r="R72" s="24"/>
      <c r="S72" s="26">
        <f t="shared" si="13"/>
        <v>0</v>
      </c>
      <c r="T72" s="26">
        <f>COUNTIF($V$4:V72,V72)</f>
        <v>29</v>
      </c>
      <c r="U72" s="26" t="str">
        <f>IF(T72=1,COUNTIF($T$4:T72,1),"")</f>
        <v/>
      </c>
      <c r="V72" s="27" t="str">
        <f t="shared" si="15"/>
        <v/>
      </c>
      <c r="W72" s="27">
        <f t="shared" si="14"/>
        <v>0</v>
      </c>
      <c r="X72" s="28"/>
      <c r="Y72" s="27"/>
      <c r="Z72" s="27"/>
      <c r="AA72" s="27"/>
    </row>
    <row r="73" spans="1:27" ht="11.25" customHeight="1">
      <c r="A73" s="34"/>
      <c r="B73" s="24"/>
      <c r="C73" s="24"/>
      <c r="D73" s="24"/>
      <c r="E73" s="24"/>
      <c r="F73" s="25"/>
      <c r="G73" s="25"/>
      <c r="H73" s="25"/>
      <c r="I73" s="25"/>
      <c r="J73" s="24"/>
      <c r="K73" s="25"/>
      <c r="L73" s="25"/>
      <c r="M73" s="25"/>
      <c r="N73" s="25"/>
      <c r="O73" s="25"/>
      <c r="P73" s="25"/>
      <c r="Q73" s="25"/>
      <c r="R73" s="24"/>
      <c r="S73" s="26">
        <f t="shared" si="13"/>
        <v>0</v>
      </c>
      <c r="T73" s="26">
        <f>COUNTIF($V$4:V73,V73)</f>
        <v>30</v>
      </c>
      <c r="U73" s="26" t="str">
        <f>IF(T73=1,COUNTIF($T$4:T73,1),"")</f>
        <v/>
      </c>
      <c r="V73" s="27" t="str">
        <f t="shared" si="15"/>
        <v/>
      </c>
      <c r="W73" s="27">
        <f t="shared" si="14"/>
        <v>0</v>
      </c>
      <c r="X73" s="28"/>
      <c r="Y73" s="27"/>
      <c r="Z73" s="27"/>
      <c r="AA73" s="27"/>
    </row>
    <row r="74" spans="1:27" ht="11.25" customHeight="1">
      <c r="A74" s="34"/>
      <c r="B74" s="24"/>
      <c r="C74" s="24"/>
      <c r="D74" s="24"/>
      <c r="E74" s="24"/>
      <c r="F74" s="25"/>
      <c r="G74" s="25"/>
      <c r="H74" s="25"/>
      <c r="I74" s="25"/>
      <c r="J74" s="24"/>
      <c r="K74" s="25"/>
      <c r="L74" s="25"/>
      <c r="M74" s="25"/>
      <c r="N74" s="25"/>
      <c r="O74" s="25"/>
      <c r="P74" s="25"/>
      <c r="Q74" s="25"/>
      <c r="R74" s="24"/>
      <c r="S74" s="26">
        <f t="shared" si="13"/>
        <v>0</v>
      </c>
      <c r="T74" s="26">
        <f>COUNTIF($V$4:V74,V74)</f>
        <v>31</v>
      </c>
      <c r="U74" s="26" t="str">
        <f>IF(T74=1,COUNTIF($T$4:T74,1),"")</f>
        <v/>
      </c>
      <c r="V74" s="27" t="str">
        <f t="shared" si="15"/>
        <v/>
      </c>
      <c r="W74" s="27">
        <f t="shared" si="14"/>
        <v>0</v>
      </c>
      <c r="X74" s="28"/>
      <c r="Y74" s="27"/>
      <c r="Z74" s="27"/>
      <c r="AA74" s="27"/>
    </row>
    <row r="75" spans="1:27" ht="11.25" customHeight="1">
      <c r="A75" s="34"/>
      <c r="B75" s="24"/>
      <c r="C75" s="24"/>
      <c r="D75" s="24"/>
      <c r="E75" s="24"/>
      <c r="F75" s="25"/>
      <c r="G75" s="25"/>
      <c r="H75" s="25"/>
      <c r="I75" s="25"/>
      <c r="J75" s="24"/>
      <c r="K75" s="25"/>
      <c r="L75" s="25"/>
      <c r="M75" s="25"/>
      <c r="N75" s="25"/>
      <c r="O75" s="25"/>
      <c r="P75" s="25"/>
      <c r="Q75" s="25"/>
      <c r="R75" s="24"/>
      <c r="S75" s="26">
        <f t="shared" si="13"/>
        <v>0</v>
      </c>
      <c r="T75" s="26">
        <f>COUNTIF($V$4:V75,V75)</f>
        <v>32</v>
      </c>
      <c r="U75" s="26" t="str">
        <f>IF(T75=1,COUNTIF($T$4:T75,1),"")</f>
        <v/>
      </c>
      <c r="V75" s="27" t="str">
        <f t="shared" si="15"/>
        <v/>
      </c>
      <c r="W75" s="27">
        <f t="shared" si="14"/>
        <v>0</v>
      </c>
      <c r="X75" s="28"/>
      <c r="Y75" s="27"/>
      <c r="Z75" s="27"/>
      <c r="AA75" s="27"/>
    </row>
    <row r="76" spans="1:27" ht="11.25" customHeight="1">
      <c r="A76" s="34"/>
      <c r="B76" s="24"/>
      <c r="C76" s="24"/>
      <c r="D76" s="24"/>
      <c r="E76" s="24"/>
      <c r="F76" s="25"/>
      <c r="G76" s="25"/>
      <c r="H76" s="25"/>
      <c r="I76" s="25"/>
      <c r="J76" s="24"/>
      <c r="K76" s="25"/>
      <c r="L76" s="25"/>
      <c r="M76" s="25"/>
      <c r="N76" s="25"/>
      <c r="O76" s="25"/>
      <c r="P76" s="25"/>
      <c r="Q76" s="25"/>
      <c r="R76" s="24"/>
      <c r="S76" s="26">
        <f t="shared" si="13"/>
        <v>0</v>
      </c>
      <c r="T76" s="26">
        <f>COUNTIF($V$4:V76,V76)</f>
        <v>33</v>
      </c>
      <c r="U76" s="26" t="str">
        <f>IF(T76=1,COUNTIF($T$4:T76,1),"")</f>
        <v/>
      </c>
      <c r="V76" s="27" t="str">
        <f t="shared" si="15"/>
        <v/>
      </c>
      <c r="W76" s="27">
        <f t="shared" si="14"/>
        <v>0</v>
      </c>
      <c r="X76" s="28"/>
      <c r="Y76" s="27"/>
      <c r="Z76" s="27"/>
      <c r="AA76" s="27"/>
    </row>
    <row r="77" spans="1:27" ht="11.25" customHeight="1">
      <c r="A77" s="34"/>
      <c r="B77" s="24"/>
      <c r="C77" s="24"/>
      <c r="D77" s="24"/>
      <c r="E77" s="24"/>
      <c r="F77" s="25"/>
      <c r="G77" s="25"/>
      <c r="H77" s="25"/>
      <c r="I77" s="25"/>
      <c r="J77" s="24"/>
      <c r="K77" s="25"/>
      <c r="L77" s="25"/>
      <c r="M77" s="25"/>
      <c r="N77" s="25"/>
      <c r="O77" s="25"/>
      <c r="P77" s="25"/>
      <c r="Q77" s="25"/>
      <c r="R77" s="24"/>
      <c r="S77" s="26">
        <f t="shared" si="13"/>
        <v>0</v>
      </c>
      <c r="T77" s="26">
        <f>COUNTIF($V$4:V77,V77)</f>
        <v>34</v>
      </c>
      <c r="U77" s="26" t="str">
        <f>IF(T77=1,COUNTIF($T$4:T77,1),"")</f>
        <v/>
      </c>
      <c r="V77" s="27" t="str">
        <f t="shared" si="15"/>
        <v/>
      </c>
      <c r="W77" s="27">
        <f t="shared" si="14"/>
        <v>0</v>
      </c>
      <c r="X77" s="28"/>
      <c r="Y77" s="27"/>
      <c r="Z77" s="27"/>
      <c r="AA77" s="27"/>
    </row>
    <row r="78" spans="1:27" ht="11.25" customHeight="1">
      <c r="A78" s="34"/>
      <c r="B78" s="24"/>
      <c r="C78" s="24"/>
      <c r="D78" s="24"/>
      <c r="E78" s="24"/>
      <c r="F78" s="25"/>
      <c r="G78" s="25"/>
      <c r="H78" s="25"/>
      <c r="I78" s="25"/>
      <c r="J78" s="24"/>
      <c r="K78" s="25"/>
      <c r="L78" s="25"/>
      <c r="M78" s="25"/>
      <c r="N78" s="25"/>
      <c r="O78" s="25"/>
      <c r="P78" s="25"/>
      <c r="Q78" s="25"/>
      <c r="R78" s="24"/>
      <c r="S78" s="26">
        <f t="shared" si="13"/>
        <v>0</v>
      </c>
      <c r="T78" s="26">
        <f>COUNTIF($V$4:V78,V78)</f>
        <v>35</v>
      </c>
      <c r="U78" s="26" t="str">
        <f>IF(T78=1,COUNTIF($T$4:T78,1),"")</f>
        <v/>
      </c>
      <c r="V78" s="27" t="str">
        <f t="shared" si="15"/>
        <v/>
      </c>
      <c r="W78" s="27">
        <f t="shared" si="14"/>
        <v>0</v>
      </c>
      <c r="X78" s="28"/>
      <c r="Y78" s="27"/>
      <c r="Z78" s="27"/>
      <c r="AA78" s="27"/>
    </row>
    <row r="79" spans="1:27" ht="11.25" customHeight="1">
      <c r="A79" s="34"/>
      <c r="B79" s="24"/>
      <c r="C79" s="24"/>
      <c r="D79" s="24"/>
      <c r="E79" s="24"/>
      <c r="F79" s="25"/>
      <c r="G79" s="25"/>
      <c r="H79" s="25"/>
      <c r="I79" s="25"/>
      <c r="J79" s="24"/>
      <c r="K79" s="25"/>
      <c r="L79" s="25"/>
      <c r="M79" s="25"/>
      <c r="N79" s="25"/>
      <c r="O79" s="25"/>
      <c r="P79" s="25"/>
      <c r="Q79" s="25"/>
      <c r="R79" s="24"/>
      <c r="S79" s="26">
        <f t="shared" si="13"/>
        <v>0</v>
      </c>
      <c r="T79" s="26">
        <f>COUNTIF($V$4:V79,V79)</f>
        <v>36</v>
      </c>
      <c r="U79" s="26" t="str">
        <f>IF(T79=1,COUNTIF($T$4:T79,1),"")</f>
        <v/>
      </c>
      <c r="V79" s="27" t="str">
        <f t="shared" si="15"/>
        <v/>
      </c>
      <c r="W79" s="27">
        <f t="shared" si="14"/>
        <v>0</v>
      </c>
      <c r="X79" s="28"/>
      <c r="Y79" s="27"/>
      <c r="Z79" s="27"/>
      <c r="AA79" s="27"/>
    </row>
    <row r="80" spans="1:27" ht="11.25" customHeight="1">
      <c r="A80" s="34"/>
      <c r="B80" s="24"/>
      <c r="C80" s="24"/>
      <c r="D80" s="24"/>
      <c r="E80" s="24"/>
      <c r="F80" s="25"/>
      <c r="G80" s="25"/>
      <c r="H80" s="25"/>
      <c r="I80" s="25"/>
      <c r="J80" s="24"/>
      <c r="K80" s="25"/>
      <c r="L80" s="25"/>
      <c r="M80" s="25"/>
      <c r="N80" s="25"/>
      <c r="O80" s="25"/>
      <c r="P80" s="25"/>
      <c r="Q80" s="25"/>
      <c r="R80" s="24"/>
      <c r="S80" s="26">
        <f t="shared" si="13"/>
        <v>0</v>
      </c>
      <c r="T80" s="26">
        <f>COUNTIF($V$4:V80,V80)</f>
        <v>37</v>
      </c>
      <c r="U80" s="26" t="str">
        <f>IF(T80=1,COUNTIF($T$4:T80,1),"")</f>
        <v/>
      </c>
      <c r="V80" s="27" t="str">
        <f t="shared" si="15"/>
        <v/>
      </c>
      <c r="W80" s="27">
        <f t="shared" si="14"/>
        <v>0</v>
      </c>
      <c r="X80" s="28"/>
      <c r="Y80" s="27"/>
      <c r="Z80" s="27"/>
      <c r="AA80" s="27"/>
    </row>
    <row r="81" spans="1:257" s="33" customFormat="1" ht="11.25" customHeight="1">
      <c r="A81" s="34"/>
      <c r="B81" s="24"/>
      <c r="C81" s="24"/>
      <c r="D81" s="24"/>
      <c r="E81" s="24"/>
      <c r="F81" s="25"/>
      <c r="G81" s="25"/>
      <c r="H81" s="25"/>
      <c r="I81" s="25"/>
      <c r="J81" s="24"/>
      <c r="K81" s="25"/>
      <c r="L81" s="25"/>
      <c r="M81" s="25"/>
      <c r="N81" s="25"/>
      <c r="O81" s="25"/>
      <c r="P81" s="25"/>
      <c r="Q81" s="25"/>
      <c r="R81" s="24"/>
      <c r="S81" s="26">
        <f t="shared" si="13"/>
        <v>0</v>
      </c>
      <c r="T81" s="26">
        <f>COUNTIF($V$4:V81,V81)</f>
        <v>38</v>
      </c>
      <c r="U81" s="26" t="str">
        <f>IF(T81=1,COUNTIF($T$4:T81,1),"")</f>
        <v/>
      </c>
      <c r="V81" s="27" t="str">
        <f t="shared" si="15"/>
        <v/>
      </c>
      <c r="W81" s="27">
        <f t="shared" si="14"/>
        <v>0</v>
      </c>
      <c r="X81" s="28"/>
      <c r="Y81" s="27"/>
      <c r="Z81" s="27"/>
      <c r="AA81" s="27"/>
      <c r="AB81" s="10"/>
      <c r="AC81" s="10"/>
      <c r="AD81" s="10"/>
      <c r="AE81" s="10"/>
      <c r="AF81" s="10"/>
      <c r="AG81" s="10"/>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row>
    <row r="82" spans="1:257" ht="11.25" customHeight="1">
      <c r="A82" s="34"/>
      <c r="B82" s="24"/>
      <c r="C82" s="24"/>
      <c r="D82" s="24"/>
      <c r="E82" s="24"/>
      <c r="F82" s="25"/>
      <c r="G82" s="25"/>
      <c r="H82" s="25"/>
      <c r="I82" s="25"/>
      <c r="J82" s="24"/>
      <c r="K82" s="25"/>
      <c r="L82" s="25"/>
      <c r="M82" s="25"/>
      <c r="N82" s="25"/>
      <c r="O82" s="25"/>
      <c r="P82" s="25"/>
      <c r="Q82" s="25"/>
      <c r="R82" s="24"/>
      <c r="S82" s="26">
        <f t="shared" si="13"/>
        <v>0</v>
      </c>
      <c r="T82" s="26">
        <f>COUNTIF($V$4:V82,V82)</f>
        <v>39</v>
      </c>
      <c r="U82" s="26" t="str">
        <f>IF(T82=1,COUNTIF($T$4:T82,1),"")</f>
        <v/>
      </c>
      <c r="V82" s="27" t="str">
        <f t="shared" si="15"/>
        <v/>
      </c>
      <c r="W82" s="27">
        <f t="shared" si="14"/>
        <v>0</v>
      </c>
      <c r="X82" s="28"/>
      <c r="Y82" s="27"/>
      <c r="Z82" s="27"/>
      <c r="AA82" s="27"/>
      <c r="AB82" s="27"/>
      <c r="AC82" s="27"/>
      <c r="AD82" s="27"/>
      <c r="AE82" s="27"/>
      <c r="AF82" s="27"/>
      <c r="AG82" s="27"/>
    </row>
    <row r="83" spans="1:257" ht="11.25" customHeight="1">
      <c r="A83" s="34"/>
      <c r="B83" s="24"/>
      <c r="C83" s="24"/>
      <c r="D83" s="24"/>
      <c r="E83" s="24"/>
      <c r="F83" s="25"/>
      <c r="G83" s="25"/>
      <c r="H83" s="25"/>
      <c r="I83" s="25"/>
      <c r="J83" s="24"/>
      <c r="K83" s="25"/>
      <c r="L83" s="25"/>
      <c r="M83" s="25"/>
      <c r="N83" s="25"/>
      <c r="O83" s="25"/>
      <c r="P83" s="25"/>
      <c r="Q83" s="25"/>
      <c r="R83" s="24"/>
      <c r="S83" s="26">
        <f t="shared" si="13"/>
        <v>0</v>
      </c>
      <c r="T83" s="26">
        <f>COUNTIF($V$4:V83,V83)</f>
        <v>40</v>
      </c>
      <c r="U83" s="26" t="str">
        <f>IF(T83=1,COUNTIF($T$4:T83,1),"")</f>
        <v/>
      </c>
      <c r="V83" s="27" t="str">
        <f t="shared" si="15"/>
        <v/>
      </c>
      <c r="W83" s="27">
        <f t="shared" si="14"/>
        <v>0</v>
      </c>
      <c r="X83" s="28"/>
      <c r="Y83" s="27"/>
      <c r="Z83" s="27"/>
      <c r="AA83" s="27"/>
    </row>
    <row r="84" spans="1:257" ht="11.25" customHeight="1">
      <c r="A84" s="34"/>
      <c r="B84" s="24"/>
      <c r="C84" s="24"/>
      <c r="D84" s="24"/>
      <c r="E84" s="24"/>
      <c r="F84" s="25"/>
      <c r="G84" s="25"/>
      <c r="H84" s="25"/>
      <c r="I84" s="25"/>
      <c r="J84" s="24"/>
      <c r="K84" s="25"/>
      <c r="L84" s="25"/>
      <c r="M84" s="25"/>
      <c r="N84" s="25"/>
      <c r="O84" s="25"/>
      <c r="P84" s="25"/>
      <c r="Q84" s="25"/>
      <c r="R84" s="24"/>
      <c r="S84" s="26">
        <f t="shared" si="13"/>
        <v>0</v>
      </c>
      <c r="T84" s="26">
        <f>COUNTIF($V$4:V84,V84)</f>
        <v>41</v>
      </c>
      <c r="U84" s="26" t="str">
        <f>IF(T84=1,COUNTIF($T$4:T84,1),"")</f>
        <v/>
      </c>
      <c r="V84" s="27" t="str">
        <f t="shared" si="15"/>
        <v/>
      </c>
      <c r="W84" s="27">
        <f t="shared" si="14"/>
        <v>0</v>
      </c>
      <c r="X84" s="28"/>
      <c r="Y84" s="27"/>
      <c r="Z84" s="27"/>
      <c r="AA84" s="27"/>
    </row>
    <row r="85" spans="1:257" ht="11.25" customHeight="1">
      <c r="A85" s="34"/>
      <c r="B85" s="24"/>
      <c r="C85" s="24"/>
      <c r="D85" s="24"/>
      <c r="E85" s="24"/>
      <c r="F85" s="25"/>
      <c r="G85" s="25"/>
      <c r="H85" s="25"/>
      <c r="I85" s="25"/>
      <c r="J85" s="24"/>
      <c r="K85" s="25"/>
      <c r="L85" s="25"/>
      <c r="M85" s="25"/>
      <c r="N85" s="25"/>
      <c r="O85" s="25"/>
      <c r="P85" s="25"/>
      <c r="Q85" s="25"/>
      <c r="R85" s="24"/>
      <c r="S85" s="26">
        <f t="shared" si="13"/>
        <v>0</v>
      </c>
      <c r="T85" s="26">
        <f>COUNTIF($V$4:V85,V85)</f>
        <v>42</v>
      </c>
      <c r="U85" s="26" t="str">
        <f>IF(T85=1,COUNTIF($T$4:T85,1),"")</f>
        <v/>
      </c>
      <c r="V85" s="27" t="str">
        <f t="shared" si="15"/>
        <v/>
      </c>
      <c r="W85" s="27">
        <f t="shared" si="14"/>
        <v>0</v>
      </c>
      <c r="X85" s="28"/>
      <c r="Y85" s="27"/>
      <c r="Z85" s="27"/>
      <c r="AA85" s="27"/>
    </row>
    <row r="86" spans="1:257" ht="11.25" customHeight="1">
      <c r="A86" s="34"/>
      <c r="B86" s="24"/>
      <c r="C86" s="24"/>
      <c r="D86" s="24"/>
      <c r="E86" s="24"/>
      <c r="F86" s="25"/>
      <c r="G86" s="25"/>
      <c r="H86" s="25"/>
      <c r="I86" s="25"/>
      <c r="J86" s="24"/>
      <c r="K86" s="25"/>
      <c r="L86" s="25"/>
      <c r="M86" s="25"/>
      <c r="N86" s="25"/>
      <c r="O86" s="25"/>
      <c r="P86" s="25"/>
      <c r="Q86" s="25"/>
      <c r="R86" s="24"/>
      <c r="S86" s="26">
        <f t="shared" si="13"/>
        <v>0</v>
      </c>
      <c r="T86" s="26">
        <f>COUNTIF($V$4:V86,V86)</f>
        <v>43</v>
      </c>
      <c r="U86" s="26" t="str">
        <f>IF(T86=1,COUNTIF($T$4:T86,1),"")</f>
        <v/>
      </c>
      <c r="V86" s="27" t="str">
        <f t="shared" si="15"/>
        <v/>
      </c>
      <c r="W86" s="27">
        <f t="shared" si="14"/>
        <v>0</v>
      </c>
      <c r="X86" s="28"/>
      <c r="Y86" s="27"/>
      <c r="Z86" s="27"/>
      <c r="AA86" s="27"/>
    </row>
    <row r="87" spans="1:257" ht="11.25" customHeight="1">
      <c r="A87" s="34"/>
      <c r="B87" s="24"/>
      <c r="C87" s="24"/>
      <c r="D87" s="24"/>
      <c r="E87" s="24"/>
      <c r="F87" s="25"/>
      <c r="G87" s="25"/>
      <c r="H87" s="25"/>
      <c r="I87" s="25"/>
      <c r="J87" s="24"/>
      <c r="K87" s="25"/>
      <c r="L87" s="25"/>
      <c r="M87" s="25"/>
      <c r="N87" s="25"/>
      <c r="O87" s="25"/>
      <c r="P87" s="25"/>
      <c r="Q87" s="25"/>
      <c r="R87" s="24"/>
      <c r="S87" s="26">
        <f t="shared" si="13"/>
        <v>0</v>
      </c>
      <c r="T87" s="26">
        <f>COUNTIF($V$4:V87,V87)</f>
        <v>44</v>
      </c>
      <c r="U87" s="26" t="str">
        <f>IF(T87=1,COUNTIF($T$4:T87,1),"")</f>
        <v/>
      </c>
      <c r="V87" s="27" t="str">
        <f t="shared" si="15"/>
        <v/>
      </c>
      <c r="W87" s="27">
        <f t="shared" si="14"/>
        <v>0</v>
      </c>
      <c r="X87" s="28"/>
      <c r="Y87" s="27"/>
      <c r="Z87" s="27"/>
      <c r="AA87" s="27"/>
    </row>
    <row r="88" spans="1:257" ht="11.25" customHeight="1">
      <c r="A88" s="34"/>
      <c r="B88" s="24"/>
      <c r="C88" s="24"/>
      <c r="D88" s="24"/>
      <c r="E88" s="24"/>
      <c r="F88" s="25"/>
      <c r="G88" s="25"/>
      <c r="H88" s="25"/>
      <c r="I88" s="25"/>
      <c r="J88" s="24"/>
      <c r="K88" s="25"/>
      <c r="L88" s="25"/>
      <c r="M88" s="25"/>
      <c r="N88" s="25"/>
      <c r="O88" s="25"/>
      <c r="P88" s="25"/>
      <c r="Q88" s="25"/>
      <c r="R88" s="24"/>
      <c r="S88" s="26">
        <f t="shared" si="13"/>
        <v>0</v>
      </c>
      <c r="T88" s="26">
        <f>COUNTIF($V$4:V88,V88)</f>
        <v>45</v>
      </c>
      <c r="U88" s="26" t="str">
        <f>IF(T88=1,COUNTIF($T$4:T88,1),"")</f>
        <v/>
      </c>
      <c r="V88" s="27" t="str">
        <f t="shared" si="15"/>
        <v/>
      </c>
      <c r="W88" s="27">
        <f t="shared" si="14"/>
        <v>0</v>
      </c>
      <c r="X88" s="28"/>
      <c r="Y88" s="27"/>
      <c r="Z88" s="27"/>
      <c r="AA88" s="27"/>
    </row>
    <row r="89" spans="1:257" ht="11.25" customHeight="1">
      <c r="A89" s="34"/>
      <c r="B89" s="24"/>
      <c r="C89" s="24"/>
      <c r="D89" s="24"/>
      <c r="E89" s="24"/>
      <c r="F89" s="25"/>
      <c r="G89" s="25"/>
      <c r="H89" s="25"/>
      <c r="I89" s="25"/>
      <c r="J89" s="24"/>
      <c r="K89" s="25"/>
      <c r="L89" s="25"/>
      <c r="M89" s="25"/>
      <c r="N89" s="25"/>
      <c r="O89" s="25"/>
      <c r="P89" s="25"/>
      <c r="Q89" s="25"/>
      <c r="R89" s="24"/>
      <c r="S89" s="26">
        <f t="shared" si="13"/>
        <v>0</v>
      </c>
      <c r="T89" s="26">
        <f>COUNTIF($V$4:V89,V89)</f>
        <v>46</v>
      </c>
      <c r="U89" s="26" t="str">
        <f>IF(T89=1,COUNTIF($T$4:T89,1),"")</f>
        <v/>
      </c>
      <c r="V89" s="27" t="str">
        <f t="shared" si="15"/>
        <v/>
      </c>
      <c r="W89" s="27">
        <f t="shared" si="14"/>
        <v>0</v>
      </c>
      <c r="X89" s="28"/>
      <c r="Y89" s="27"/>
      <c r="Z89" s="27"/>
      <c r="AA89" s="27"/>
    </row>
    <row r="90" spans="1:257" ht="11.25" customHeight="1">
      <c r="A90" s="34"/>
      <c r="B90" s="24"/>
      <c r="C90" s="24"/>
      <c r="D90" s="24"/>
      <c r="E90" s="24"/>
      <c r="F90" s="25"/>
      <c r="G90" s="25"/>
      <c r="H90" s="25"/>
      <c r="I90" s="25"/>
      <c r="J90" s="24"/>
      <c r="K90" s="25"/>
      <c r="L90" s="25"/>
      <c r="M90" s="25"/>
      <c r="N90" s="25"/>
      <c r="O90" s="25"/>
      <c r="P90" s="25"/>
      <c r="Q90" s="25"/>
      <c r="R90" s="24"/>
      <c r="S90" s="26">
        <f t="shared" si="13"/>
        <v>0</v>
      </c>
      <c r="T90" s="26">
        <f>COUNTIF($V$4:V90,V90)</f>
        <v>47</v>
      </c>
      <c r="U90" s="26" t="str">
        <f>IF(T90=1,COUNTIF($T$4:T90,1),"")</f>
        <v/>
      </c>
      <c r="V90" s="27" t="str">
        <f t="shared" si="15"/>
        <v/>
      </c>
      <c r="W90" s="27">
        <f t="shared" si="14"/>
        <v>0</v>
      </c>
      <c r="X90" s="28"/>
      <c r="Y90" s="27"/>
      <c r="Z90" s="27"/>
      <c r="AA90" s="27"/>
    </row>
    <row r="91" spans="1:257" ht="11.25" customHeight="1">
      <c r="A91" s="34"/>
      <c r="B91" s="24"/>
      <c r="C91" s="24"/>
      <c r="D91" s="24"/>
      <c r="E91" s="24"/>
      <c r="F91" s="25"/>
      <c r="G91" s="25"/>
      <c r="H91" s="25"/>
      <c r="I91" s="25"/>
      <c r="J91" s="24"/>
      <c r="K91" s="25"/>
      <c r="L91" s="25"/>
      <c r="M91" s="25"/>
      <c r="N91" s="25"/>
      <c r="O91" s="25"/>
      <c r="P91" s="25"/>
      <c r="Q91" s="25"/>
      <c r="R91" s="24"/>
      <c r="S91" s="26">
        <f t="shared" si="13"/>
        <v>0</v>
      </c>
      <c r="T91" s="26">
        <f>COUNTIF($V$4:V91,V91)</f>
        <v>48</v>
      </c>
      <c r="U91" s="26" t="str">
        <f>IF(T91=1,COUNTIF($T$4:T91,1),"")</f>
        <v/>
      </c>
      <c r="V91" s="27" t="str">
        <f t="shared" si="15"/>
        <v/>
      </c>
      <c r="W91" s="27">
        <f t="shared" si="14"/>
        <v>0</v>
      </c>
      <c r="X91" s="28"/>
      <c r="Y91" s="27"/>
      <c r="Z91" s="27"/>
      <c r="AA91" s="27"/>
    </row>
    <row r="92" spans="1:257" ht="11.25" customHeight="1">
      <c r="A92" s="34"/>
      <c r="B92" s="24"/>
      <c r="C92" s="24"/>
      <c r="D92" s="24"/>
      <c r="E92" s="24"/>
      <c r="F92" s="25"/>
      <c r="G92" s="25"/>
      <c r="H92" s="25"/>
      <c r="I92" s="25"/>
      <c r="J92" s="24"/>
      <c r="K92" s="25"/>
      <c r="L92" s="25"/>
      <c r="M92" s="25"/>
      <c r="N92" s="25"/>
      <c r="O92" s="25"/>
      <c r="P92" s="25"/>
      <c r="Q92" s="25"/>
      <c r="R92" s="24"/>
      <c r="S92" s="26">
        <f t="shared" si="13"/>
        <v>0</v>
      </c>
      <c r="T92" s="26">
        <f>COUNTIF($V$4:V92,V92)</f>
        <v>49</v>
      </c>
      <c r="U92" s="26" t="str">
        <f>IF(T92=1,COUNTIF($T$4:T92,1),"")</f>
        <v/>
      </c>
      <c r="V92" s="27" t="str">
        <f t="shared" si="15"/>
        <v/>
      </c>
      <c r="W92" s="27">
        <f t="shared" si="14"/>
        <v>0</v>
      </c>
      <c r="X92" s="28"/>
      <c r="Y92" s="27"/>
      <c r="Z92" s="27"/>
      <c r="AA92" s="27"/>
    </row>
    <row r="93" spans="1:257" ht="11.25" customHeight="1">
      <c r="A93" s="34"/>
      <c r="B93" s="24"/>
      <c r="C93" s="24"/>
      <c r="D93" s="24"/>
      <c r="E93" s="24"/>
      <c r="F93" s="25"/>
      <c r="G93" s="25"/>
      <c r="H93" s="25"/>
      <c r="I93" s="25"/>
      <c r="J93" s="24"/>
      <c r="K93" s="25"/>
      <c r="L93" s="25"/>
      <c r="M93" s="25"/>
      <c r="N93" s="25"/>
      <c r="O93" s="25"/>
      <c r="P93" s="25"/>
      <c r="Q93" s="25"/>
      <c r="R93" s="24"/>
      <c r="S93" s="26">
        <f t="shared" si="13"/>
        <v>0</v>
      </c>
      <c r="T93" s="26">
        <f>COUNTIF($V$4:V93,V93)</f>
        <v>50</v>
      </c>
      <c r="U93" s="26" t="str">
        <f>IF(T93=1,COUNTIF($T$4:T93,1),"")</f>
        <v/>
      </c>
      <c r="V93" s="27" t="str">
        <f t="shared" si="15"/>
        <v/>
      </c>
      <c r="W93" s="27">
        <f t="shared" si="14"/>
        <v>0</v>
      </c>
      <c r="X93" s="28"/>
      <c r="Y93" s="27"/>
      <c r="Z93" s="27"/>
      <c r="AA93" s="27"/>
    </row>
    <row r="94" spans="1:257" ht="11.25" customHeight="1">
      <c r="A94" s="34"/>
      <c r="B94" s="24"/>
      <c r="C94" s="24"/>
      <c r="D94" s="24"/>
      <c r="E94" s="24"/>
      <c r="F94" s="25"/>
      <c r="G94" s="25"/>
      <c r="H94" s="25"/>
      <c r="I94" s="25"/>
      <c r="J94" s="24"/>
      <c r="K94" s="25"/>
      <c r="L94" s="25"/>
      <c r="M94" s="25"/>
      <c r="N94" s="25"/>
      <c r="O94" s="25"/>
      <c r="P94" s="25"/>
      <c r="Q94" s="25"/>
      <c r="R94" s="24"/>
      <c r="S94" s="26">
        <f t="shared" si="13"/>
        <v>0</v>
      </c>
      <c r="T94" s="26">
        <f>COUNTIF($V$4:V94,V94)</f>
        <v>51</v>
      </c>
      <c r="U94" s="26" t="str">
        <f>IF(T94=1,COUNTIF($T$4:T94,1),"")</f>
        <v/>
      </c>
      <c r="V94" s="27" t="str">
        <f t="shared" si="15"/>
        <v/>
      </c>
      <c r="W94" s="27">
        <f t="shared" si="14"/>
        <v>0</v>
      </c>
      <c r="X94" s="28"/>
      <c r="Y94" s="27"/>
      <c r="Z94" s="27"/>
      <c r="AA94" s="27"/>
    </row>
    <row r="95" spans="1:257" ht="11.25" customHeight="1">
      <c r="A95" s="34"/>
      <c r="B95" s="24"/>
      <c r="C95" s="24"/>
      <c r="D95" s="24"/>
      <c r="E95" s="24"/>
      <c r="F95" s="25"/>
      <c r="G95" s="25"/>
      <c r="H95" s="25"/>
      <c r="I95" s="25"/>
      <c r="J95" s="24"/>
      <c r="K95" s="25"/>
      <c r="L95" s="25"/>
      <c r="M95" s="25"/>
      <c r="N95" s="25"/>
      <c r="O95" s="25"/>
      <c r="P95" s="25"/>
      <c r="Q95" s="25"/>
      <c r="R95" s="24"/>
      <c r="S95" s="26">
        <f t="shared" si="13"/>
        <v>0</v>
      </c>
      <c r="T95" s="26">
        <f>COUNTIF($V$4:V95,V95)</f>
        <v>52</v>
      </c>
      <c r="U95" s="26" t="str">
        <f>IF(T95=1,COUNTIF($T$4:T95,1),"")</f>
        <v/>
      </c>
      <c r="V95" s="27" t="str">
        <f t="shared" si="15"/>
        <v/>
      </c>
      <c r="W95" s="27">
        <f t="shared" si="14"/>
        <v>0</v>
      </c>
      <c r="X95" s="28"/>
      <c r="Y95" s="27"/>
      <c r="Z95" s="27"/>
      <c r="AA95" s="27"/>
    </row>
    <row r="96" spans="1:257" ht="11.25" customHeight="1">
      <c r="A96" s="34"/>
      <c r="B96" s="24"/>
      <c r="C96" s="24"/>
      <c r="D96" s="24"/>
      <c r="E96" s="24"/>
      <c r="F96" s="25"/>
      <c r="G96" s="25"/>
      <c r="H96" s="25"/>
      <c r="I96" s="25"/>
      <c r="J96" s="24"/>
      <c r="K96" s="25"/>
      <c r="L96" s="25"/>
      <c r="M96" s="25"/>
      <c r="N96" s="25"/>
      <c r="O96" s="25"/>
      <c r="P96" s="25"/>
      <c r="Q96" s="25"/>
      <c r="R96" s="24"/>
      <c r="S96" s="26">
        <f t="shared" si="13"/>
        <v>0</v>
      </c>
      <c r="T96" s="26">
        <f>COUNTIF($V$4:V96,V96)</f>
        <v>53</v>
      </c>
      <c r="U96" s="26" t="str">
        <f>IF(T96=1,COUNTIF($T$4:T96,1),"")</f>
        <v/>
      </c>
      <c r="V96" s="27" t="str">
        <f t="shared" si="15"/>
        <v/>
      </c>
      <c r="W96" s="27">
        <f t="shared" si="14"/>
        <v>0</v>
      </c>
      <c r="X96" s="28"/>
      <c r="Y96" s="27"/>
      <c r="Z96" s="27"/>
      <c r="AA96" s="27"/>
    </row>
    <row r="97" spans="1:27" ht="11.25" customHeight="1">
      <c r="A97" s="34"/>
      <c r="B97" s="24"/>
      <c r="C97" s="24"/>
      <c r="D97" s="24"/>
      <c r="E97" s="24"/>
      <c r="F97" s="25"/>
      <c r="G97" s="25"/>
      <c r="H97" s="25"/>
      <c r="I97" s="25"/>
      <c r="J97" s="24"/>
      <c r="K97" s="25"/>
      <c r="L97" s="25"/>
      <c r="M97" s="25"/>
      <c r="N97" s="25"/>
      <c r="O97" s="25"/>
      <c r="P97" s="25"/>
      <c r="Q97" s="25"/>
      <c r="R97" s="24"/>
      <c r="S97" s="26">
        <f t="shared" si="13"/>
        <v>0</v>
      </c>
      <c r="T97" s="26">
        <f>COUNTIF($V$4:V97,V97)</f>
        <v>54</v>
      </c>
      <c r="U97" s="26" t="str">
        <f>IF(T97=1,COUNTIF($T$4:T97,1),"")</f>
        <v/>
      </c>
      <c r="V97" s="27" t="str">
        <f t="shared" si="15"/>
        <v/>
      </c>
      <c r="W97" s="27">
        <f t="shared" si="14"/>
        <v>0</v>
      </c>
      <c r="X97" s="28"/>
      <c r="Y97" s="27"/>
      <c r="Z97" s="27"/>
      <c r="AA97" s="27"/>
    </row>
    <row r="98" spans="1:27" ht="11.25" customHeight="1">
      <c r="A98" s="34"/>
      <c r="B98" s="24"/>
      <c r="C98" s="24"/>
      <c r="D98" s="24"/>
      <c r="E98" s="24"/>
      <c r="F98" s="25"/>
      <c r="G98" s="25"/>
      <c r="H98" s="25"/>
      <c r="I98" s="25"/>
      <c r="J98" s="24"/>
      <c r="K98" s="25"/>
      <c r="L98" s="25"/>
      <c r="M98" s="25"/>
      <c r="N98" s="25"/>
      <c r="O98" s="25"/>
      <c r="P98" s="25"/>
      <c r="Q98" s="25"/>
      <c r="R98" s="24"/>
      <c r="S98" s="26">
        <f t="shared" si="13"/>
        <v>0</v>
      </c>
      <c r="T98" s="26">
        <f>COUNTIF($V$4:V98,V98)</f>
        <v>55</v>
      </c>
      <c r="U98" s="26" t="str">
        <f>IF(T98=1,COUNTIF($T$4:T98,1),"")</f>
        <v/>
      </c>
      <c r="V98" s="27" t="str">
        <f t="shared" si="15"/>
        <v/>
      </c>
      <c r="W98" s="27">
        <f t="shared" si="14"/>
        <v>0</v>
      </c>
      <c r="X98" s="28"/>
      <c r="Y98" s="27"/>
      <c r="Z98" s="27"/>
      <c r="AA98" s="27"/>
    </row>
    <row r="99" spans="1:27" ht="11.25" customHeight="1">
      <c r="A99" s="34"/>
      <c r="B99" s="24"/>
      <c r="C99" s="24"/>
      <c r="D99" s="24"/>
      <c r="E99" s="24"/>
      <c r="F99" s="25"/>
      <c r="G99" s="25"/>
      <c r="H99" s="25"/>
      <c r="I99" s="25"/>
      <c r="J99" s="24"/>
      <c r="K99" s="25"/>
      <c r="L99" s="25"/>
      <c r="M99" s="25"/>
      <c r="N99" s="25"/>
      <c r="O99" s="25"/>
      <c r="P99" s="25"/>
      <c r="Q99" s="25"/>
      <c r="R99" s="24"/>
      <c r="S99" s="26">
        <f t="shared" si="13"/>
        <v>0</v>
      </c>
      <c r="T99" s="26">
        <f>COUNTIF($V$4:V99,V99)</f>
        <v>56</v>
      </c>
      <c r="U99" s="26" t="str">
        <f>IF(T99=1,COUNTIF($T$4:T99,1),"")</f>
        <v/>
      </c>
      <c r="V99" s="27" t="str">
        <f t="shared" si="15"/>
        <v/>
      </c>
      <c r="W99" s="27">
        <f t="shared" si="14"/>
        <v>0</v>
      </c>
      <c r="X99" s="28"/>
      <c r="Y99" s="27"/>
      <c r="Z99" s="27"/>
      <c r="AA99" s="27"/>
    </row>
    <row r="100" spans="1:27" ht="11.25" customHeight="1">
      <c r="A100" s="34"/>
      <c r="B100" s="24"/>
      <c r="C100" s="24"/>
      <c r="D100" s="24"/>
      <c r="E100" s="24"/>
      <c r="F100" s="25"/>
      <c r="G100" s="25"/>
      <c r="H100" s="25"/>
      <c r="I100" s="25"/>
      <c r="J100" s="24"/>
      <c r="K100" s="25"/>
      <c r="L100" s="25"/>
      <c r="M100" s="25"/>
      <c r="N100" s="25"/>
      <c r="O100" s="25"/>
      <c r="P100" s="25"/>
      <c r="Q100" s="25"/>
      <c r="R100" s="24"/>
      <c r="S100" s="26">
        <f t="shared" si="13"/>
        <v>0</v>
      </c>
      <c r="T100" s="26">
        <f>COUNTIF($V$4:V100,V100)</f>
        <v>57</v>
      </c>
      <c r="U100" s="26" t="str">
        <f>IF(T100=1,COUNTIF($T$4:T100,1),"")</f>
        <v/>
      </c>
      <c r="V100" s="27" t="str">
        <f t="shared" si="15"/>
        <v/>
      </c>
      <c r="W100" s="27">
        <f t="shared" si="14"/>
        <v>0</v>
      </c>
      <c r="X100" s="28"/>
      <c r="Y100" s="27"/>
      <c r="Z100" s="27"/>
      <c r="AA100" s="27"/>
    </row>
    <row r="101" spans="1:27" ht="11.25" customHeight="1">
      <c r="A101" s="34"/>
      <c r="B101" s="24"/>
      <c r="C101" s="24"/>
      <c r="D101" s="24"/>
      <c r="E101" s="24"/>
      <c r="F101" s="25"/>
      <c r="G101" s="25"/>
      <c r="H101" s="25"/>
      <c r="I101" s="25"/>
      <c r="J101" s="24"/>
      <c r="K101" s="25"/>
      <c r="L101" s="25"/>
      <c r="M101" s="25"/>
      <c r="N101" s="25"/>
      <c r="O101" s="25"/>
      <c r="P101" s="25"/>
      <c r="Q101" s="25"/>
      <c r="R101" s="24"/>
      <c r="S101" s="26">
        <f t="shared" si="13"/>
        <v>0</v>
      </c>
      <c r="T101" s="26">
        <f>COUNTIF($V$4:V101,V101)</f>
        <v>58</v>
      </c>
      <c r="U101" s="26" t="str">
        <f>IF(T101=1,COUNTIF($T$4:T101,1),"")</f>
        <v/>
      </c>
      <c r="V101" s="27" t="str">
        <f t="shared" si="15"/>
        <v/>
      </c>
      <c r="W101" s="27">
        <f t="shared" si="14"/>
        <v>0</v>
      </c>
      <c r="X101" s="28"/>
      <c r="Y101" s="27"/>
      <c r="Z101" s="27"/>
      <c r="AA101" s="27"/>
    </row>
    <row r="102" spans="1:27" ht="11.25" customHeight="1">
      <c r="A102" s="34"/>
      <c r="B102" s="24"/>
      <c r="C102" s="24"/>
      <c r="D102" s="24"/>
      <c r="E102" s="24"/>
      <c r="F102" s="25"/>
      <c r="G102" s="25"/>
      <c r="H102" s="25"/>
      <c r="I102" s="25"/>
      <c r="J102" s="24"/>
      <c r="K102" s="25"/>
      <c r="L102" s="25"/>
      <c r="M102" s="25"/>
      <c r="N102" s="25"/>
      <c r="O102" s="25"/>
      <c r="P102" s="25"/>
      <c r="Q102" s="25"/>
      <c r="R102" s="24"/>
      <c r="S102" s="26">
        <f t="shared" si="13"/>
        <v>0</v>
      </c>
      <c r="T102" s="26">
        <f>COUNTIF($V$4:V102,V102)</f>
        <v>59</v>
      </c>
      <c r="U102" s="26" t="str">
        <f>IF(T102=1,COUNTIF($T$4:T102,1),"")</f>
        <v/>
      </c>
      <c r="V102" s="27" t="str">
        <f t="shared" si="15"/>
        <v/>
      </c>
      <c r="W102" s="27">
        <f t="shared" si="14"/>
        <v>0</v>
      </c>
      <c r="X102" s="28"/>
      <c r="Y102" s="27"/>
      <c r="Z102" s="27"/>
      <c r="AA102" s="27"/>
    </row>
    <row r="103" spans="1:27" ht="11.25" customHeight="1">
      <c r="A103" s="34"/>
      <c r="B103" s="24"/>
      <c r="C103" s="24"/>
      <c r="D103" s="24"/>
      <c r="E103" s="24"/>
      <c r="F103" s="25"/>
      <c r="G103" s="25"/>
      <c r="H103" s="25"/>
      <c r="I103" s="25"/>
      <c r="J103" s="24"/>
      <c r="K103" s="25"/>
      <c r="L103" s="25"/>
      <c r="M103" s="25"/>
      <c r="N103" s="25"/>
      <c r="O103" s="25"/>
      <c r="P103" s="25"/>
      <c r="Q103" s="25"/>
      <c r="R103" s="24"/>
      <c r="S103" s="26">
        <f t="shared" si="13"/>
        <v>0</v>
      </c>
      <c r="T103" s="26">
        <f>COUNTIF($V$4:V103,V103)</f>
        <v>60</v>
      </c>
      <c r="U103" s="26" t="str">
        <f>IF(T103=1,COUNTIF($T$4:T103,1),"")</f>
        <v/>
      </c>
      <c r="V103" s="27" t="str">
        <f t="shared" si="15"/>
        <v/>
      </c>
      <c r="W103" s="27">
        <f t="shared" si="14"/>
        <v>0</v>
      </c>
      <c r="X103" s="28"/>
      <c r="Y103" s="27"/>
      <c r="Z103" s="27"/>
    </row>
    <row r="104" spans="1:27">
      <c r="A104" s="34"/>
      <c r="B104" s="24"/>
      <c r="C104" s="24"/>
      <c r="D104" s="24"/>
      <c r="E104" s="24"/>
      <c r="F104" s="25"/>
      <c r="G104" s="25"/>
      <c r="H104" s="25"/>
      <c r="I104" s="25"/>
      <c r="J104" s="24"/>
      <c r="K104" s="25"/>
      <c r="L104" s="25"/>
      <c r="M104" s="25"/>
      <c r="N104" s="25"/>
      <c r="O104" s="25"/>
      <c r="P104" s="25"/>
      <c r="Q104" s="25"/>
      <c r="R104" s="24"/>
      <c r="S104" s="26">
        <f t="shared" si="13"/>
        <v>0</v>
      </c>
      <c r="T104" s="26">
        <f>COUNTIF($V$4:V104,V104)</f>
        <v>61</v>
      </c>
      <c r="U104" s="26" t="str">
        <f>IF(T104=1,COUNTIF($T$4:T104,1),"")</f>
        <v/>
      </c>
      <c r="V104" s="27" t="str">
        <f t="shared" si="15"/>
        <v/>
      </c>
      <c r="W104" s="27">
        <f t="shared" si="14"/>
        <v>0</v>
      </c>
      <c r="X104" s="28"/>
      <c r="Y104" s="27"/>
      <c r="Z104" s="27"/>
    </row>
    <row r="105" spans="1:27">
      <c r="A105" s="34"/>
      <c r="B105" s="24"/>
      <c r="C105" s="24"/>
      <c r="D105" s="24"/>
      <c r="E105" s="24"/>
      <c r="F105" s="25"/>
      <c r="G105" s="25"/>
      <c r="H105" s="25"/>
      <c r="I105" s="25"/>
      <c r="J105" s="24"/>
      <c r="K105" s="25"/>
      <c r="L105" s="25"/>
      <c r="M105" s="25"/>
      <c r="N105" s="25"/>
      <c r="O105" s="25"/>
      <c r="P105" s="25"/>
      <c r="Q105" s="25"/>
      <c r="R105" s="24"/>
      <c r="S105" s="26">
        <f t="shared" si="13"/>
        <v>0</v>
      </c>
      <c r="T105" s="26">
        <f>COUNTIF($V$4:V105,V105)</f>
        <v>62</v>
      </c>
      <c r="U105" s="26" t="str">
        <f>IF(T105=1,COUNTIF($T$4:T105,1),"")</f>
        <v/>
      </c>
      <c r="V105" s="27" t="str">
        <f t="shared" si="15"/>
        <v/>
      </c>
      <c r="W105" s="27">
        <f t="shared" si="14"/>
        <v>0</v>
      </c>
      <c r="X105" s="28"/>
      <c r="Y105" s="27"/>
      <c r="Z105" s="27"/>
    </row>
    <row r="106" spans="1:27">
      <c r="A106" s="34"/>
      <c r="B106" s="24"/>
      <c r="C106" s="24"/>
      <c r="D106" s="24"/>
      <c r="E106" s="24"/>
      <c r="F106" s="25"/>
      <c r="G106" s="25"/>
      <c r="H106" s="25"/>
      <c r="I106" s="25"/>
      <c r="J106" s="24"/>
      <c r="K106" s="25"/>
      <c r="L106" s="25"/>
      <c r="M106" s="25"/>
      <c r="N106" s="25"/>
      <c r="O106" s="25"/>
      <c r="P106" s="25"/>
      <c r="Q106" s="25"/>
      <c r="R106" s="24"/>
      <c r="S106" s="26">
        <f t="shared" si="13"/>
        <v>0</v>
      </c>
      <c r="T106" s="26">
        <f>COUNTIF($V$4:V106,V106)</f>
        <v>63</v>
      </c>
      <c r="U106" s="26" t="str">
        <f>IF(T106=1,COUNTIF($T$4:T106,1),"")</f>
        <v/>
      </c>
      <c r="V106" s="27" t="str">
        <f t="shared" si="15"/>
        <v/>
      </c>
      <c r="W106" s="27">
        <f t="shared" si="14"/>
        <v>0</v>
      </c>
      <c r="X106" s="28"/>
      <c r="Y106" s="27"/>
      <c r="Z106" s="27"/>
    </row>
    <row r="107" spans="1:27">
      <c r="A107" s="34"/>
      <c r="B107" s="24"/>
      <c r="C107" s="24"/>
      <c r="D107" s="24"/>
      <c r="E107" s="24"/>
      <c r="F107" s="25"/>
      <c r="G107" s="25"/>
      <c r="H107" s="25"/>
      <c r="I107" s="25"/>
      <c r="J107" s="24"/>
      <c r="K107" s="25"/>
      <c r="L107" s="25"/>
      <c r="M107" s="25"/>
      <c r="N107" s="25"/>
      <c r="O107" s="25"/>
      <c r="P107" s="25"/>
      <c r="Q107" s="25"/>
      <c r="R107" s="24"/>
      <c r="S107" s="26">
        <f t="shared" si="13"/>
        <v>0</v>
      </c>
      <c r="T107" s="26">
        <f>COUNTIF($V$4:V107,V107)</f>
        <v>64</v>
      </c>
      <c r="U107" s="26" t="str">
        <f>IF(T107=1,COUNTIF($T$4:T107,1),"")</f>
        <v/>
      </c>
      <c r="V107" s="27" t="str">
        <f t="shared" si="15"/>
        <v/>
      </c>
      <c r="W107" s="27">
        <f t="shared" si="14"/>
        <v>0</v>
      </c>
      <c r="X107" s="28"/>
      <c r="Y107" s="27"/>
      <c r="Z107" s="27"/>
    </row>
    <row r="108" spans="1:27" ht="11.25" customHeight="1">
      <c r="A108" s="34"/>
      <c r="B108" s="24"/>
      <c r="C108" s="24"/>
      <c r="D108" s="24"/>
      <c r="E108" s="24"/>
      <c r="F108" s="25"/>
      <c r="G108" s="25"/>
      <c r="H108" s="25"/>
      <c r="I108" s="25"/>
      <c r="J108" s="24"/>
      <c r="K108" s="25"/>
      <c r="L108" s="25"/>
      <c r="M108" s="25"/>
      <c r="N108" s="25"/>
      <c r="O108" s="25"/>
      <c r="P108" s="25"/>
      <c r="Q108" s="25"/>
      <c r="R108" s="24"/>
      <c r="S108" s="26">
        <f t="shared" si="13"/>
        <v>0</v>
      </c>
      <c r="T108" s="26">
        <f>COUNTIF($V$4:V108,V108)</f>
        <v>65</v>
      </c>
      <c r="U108" s="26" t="str">
        <f>IF(T108=1,COUNTIF($T$4:T108,1),"")</f>
        <v/>
      </c>
      <c r="V108" s="27" t="str">
        <f t="shared" si="15"/>
        <v/>
      </c>
      <c r="W108" s="27">
        <f t="shared" si="14"/>
        <v>0</v>
      </c>
      <c r="X108" s="28"/>
      <c r="Y108" s="27"/>
      <c r="Z108" s="27"/>
    </row>
    <row r="109" spans="1:27" ht="11.25" customHeight="1">
      <c r="A109" s="34"/>
      <c r="B109" s="24"/>
      <c r="C109" s="24"/>
      <c r="D109" s="24"/>
      <c r="E109" s="24"/>
      <c r="F109" s="25"/>
      <c r="G109" s="25"/>
      <c r="H109" s="25"/>
      <c r="I109" s="25"/>
      <c r="J109" s="24"/>
      <c r="K109" s="25"/>
      <c r="L109" s="25"/>
      <c r="M109" s="25"/>
      <c r="N109" s="25"/>
      <c r="O109" s="25"/>
      <c r="P109" s="25"/>
      <c r="Q109" s="25"/>
      <c r="R109" s="24"/>
      <c r="S109" s="26">
        <f t="shared" si="13"/>
        <v>0</v>
      </c>
      <c r="T109" s="26">
        <f>COUNTIF($V$4:V109,V109)</f>
        <v>66</v>
      </c>
      <c r="U109" s="26" t="str">
        <f>IF(T109=1,COUNTIF($T$4:T109,1),"")</f>
        <v/>
      </c>
      <c r="V109" s="27" t="str">
        <f t="shared" si="15"/>
        <v/>
      </c>
      <c r="W109" s="27">
        <f t="shared" si="14"/>
        <v>0</v>
      </c>
      <c r="X109" s="28"/>
      <c r="Y109" s="27"/>
      <c r="Z109" s="27"/>
    </row>
    <row r="110" spans="1:27" ht="11.25" customHeight="1">
      <c r="A110" s="34"/>
      <c r="B110" s="24"/>
      <c r="C110" s="24"/>
      <c r="D110" s="24"/>
      <c r="E110" s="24"/>
      <c r="F110" s="25"/>
      <c r="G110" s="25"/>
      <c r="H110" s="25"/>
      <c r="I110" s="25"/>
      <c r="J110" s="24"/>
      <c r="K110" s="25"/>
      <c r="L110" s="25"/>
      <c r="M110" s="25"/>
      <c r="N110" s="25"/>
      <c r="O110" s="25"/>
      <c r="P110" s="25"/>
      <c r="Q110" s="25"/>
      <c r="R110" s="24"/>
      <c r="S110" s="26">
        <f t="shared" si="13"/>
        <v>0</v>
      </c>
      <c r="T110" s="26">
        <f>COUNTIF($V$4:V110,V110)</f>
        <v>67</v>
      </c>
      <c r="U110" s="26" t="str">
        <f>IF(T110=1,COUNTIF($T$4:T110,1),"")</f>
        <v/>
      </c>
      <c r="V110" s="27" t="str">
        <f t="shared" si="15"/>
        <v/>
      </c>
      <c r="W110" s="27">
        <f t="shared" si="14"/>
        <v>0</v>
      </c>
      <c r="X110" s="28"/>
      <c r="Y110" s="27"/>
      <c r="Z110" s="27"/>
    </row>
    <row r="111" spans="1:27" ht="11.25" customHeight="1">
      <c r="A111" s="34"/>
      <c r="B111" s="24"/>
      <c r="C111" s="24"/>
      <c r="D111" s="24"/>
      <c r="E111" s="24"/>
      <c r="F111" s="25"/>
      <c r="G111" s="25"/>
      <c r="H111" s="25"/>
      <c r="I111" s="25"/>
      <c r="J111" s="24"/>
      <c r="K111" s="25"/>
      <c r="L111" s="25"/>
      <c r="M111" s="25"/>
      <c r="N111" s="25"/>
      <c r="O111" s="25"/>
      <c r="P111" s="25"/>
      <c r="Q111" s="25"/>
      <c r="R111" s="24"/>
      <c r="S111" s="26">
        <f t="shared" si="13"/>
        <v>0</v>
      </c>
      <c r="T111" s="26">
        <f>COUNTIF($V$4:V111,V111)</f>
        <v>68</v>
      </c>
      <c r="U111" s="26" t="str">
        <f>IF(T111=1,COUNTIF($T$4:T111,1),"")</f>
        <v/>
      </c>
      <c r="V111" s="27" t="str">
        <f t="shared" si="15"/>
        <v/>
      </c>
      <c r="W111" s="27">
        <f t="shared" si="14"/>
        <v>0</v>
      </c>
      <c r="X111" s="28"/>
      <c r="Y111" s="27"/>
      <c r="Z111" s="27"/>
    </row>
    <row r="112" spans="1:27" ht="11.25" customHeight="1">
      <c r="A112" s="34"/>
      <c r="B112" s="24"/>
      <c r="C112" s="24"/>
      <c r="D112" s="24"/>
      <c r="E112" s="24"/>
      <c r="F112" s="25"/>
      <c r="G112" s="25"/>
      <c r="H112" s="25"/>
      <c r="I112" s="25"/>
      <c r="J112" s="24"/>
      <c r="K112" s="25"/>
      <c r="L112" s="25"/>
      <c r="M112" s="25"/>
      <c r="N112" s="25"/>
      <c r="O112" s="25"/>
      <c r="P112" s="25"/>
      <c r="Q112" s="25"/>
      <c r="R112" s="24"/>
      <c r="S112" s="26">
        <f t="shared" si="13"/>
        <v>0</v>
      </c>
      <c r="T112" s="26">
        <f>COUNTIF($V$4:V112,V112)</f>
        <v>69</v>
      </c>
      <c r="U112" s="26" t="str">
        <f>IF(T112=1,COUNTIF($T$4:T112,1),"")</f>
        <v/>
      </c>
      <c r="V112" s="27" t="str">
        <f t="shared" si="15"/>
        <v/>
      </c>
      <c r="W112" s="27">
        <f t="shared" si="14"/>
        <v>0</v>
      </c>
      <c r="X112" s="28"/>
      <c r="Y112" s="27"/>
      <c r="Z112" s="27"/>
    </row>
    <row r="113" spans="1:26" ht="11.25" customHeight="1">
      <c r="A113" s="34"/>
      <c r="B113" s="24"/>
      <c r="C113" s="24"/>
      <c r="D113" s="24"/>
      <c r="E113" s="24"/>
      <c r="F113" s="25"/>
      <c r="G113" s="25"/>
      <c r="H113" s="25"/>
      <c r="I113" s="25"/>
      <c r="J113" s="24"/>
      <c r="K113" s="25"/>
      <c r="L113" s="25"/>
      <c r="M113" s="25"/>
      <c r="N113" s="25"/>
      <c r="O113" s="25"/>
      <c r="P113" s="25"/>
      <c r="Q113" s="25"/>
      <c r="R113" s="24"/>
      <c r="S113" s="26">
        <f t="shared" si="13"/>
        <v>0</v>
      </c>
      <c r="T113" s="26">
        <f>COUNTIF($V$4:V113,V113)</f>
        <v>70</v>
      </c>
      <c r="U113" s="26" t="str">
        <f>IF(T113=1,COUNTIF($T$4:T113,1),"")</f>
        <v/>
      </c>
      <c r="V113" s="27" t="str">
        <f t="shared" si="15"/>
        <v/>
      </c>
      <c r="W113" s="27">
        <f t="shared" si="14"/>
        <v>0</v>
      </c>
      <c r="X113" s="28"/>
      <c r="Y113" s="27"/>
      <c r="Z113" s="27"/>
    </row>
    <row r="114" spans="1:26" ht="11.25" customHeight="1">
      <c r="A114" s="34"/>
      <c r="B114" s="24"/>
      <c r="C114" s="24"/>
      <c r="D114" s="24"/>
      <c r="E114" s="24"/>
      <c r="F114" s="25"/>
      <c r="G114" s="25"/>
      <c r="H114" s="25"/>
      <c r="I114" s="25"/>
      <c r="J114" s="24"/>
      <c r="K114" s="25"/>
      <c r="L114" s="25"/>
      <c r="M114" s="25"/>
      <c r="N114" s="25"/>
      <c r="O114" s="25"/>
      <c r="P114" s="25"/>
      <c r="Q114" s="25"/>
      <c r="R114" s="24"/>
      <c r="S114" s="26">
        <f t="shared" si="13"/>
        <v>0</v>
      </c>
      <c r="T114" s="26">
        <f>COUNTIF($V$4:V114,V114)</f>
        <v>71</v>
      </c>
      <c r="U114" s="26" t="str">
        <f>IF(T114=1,COUNTIF($T$4:T114,1),"")</f>
        <v/>
      </c>
      <c r="V114" s="27" t="str">
        <f t="shared" si="15"/>
        <v/>
      </c>
      <c r="W114" s="27">
        <f t="shared" si="14"/>
        <v>0</v>
      </c>
      <c r="X114" s="28"/>
      <c r="Y114" s="27"/>
      <c r="Z114" s="27"/>
    </row>
    <row r="115" spans="1:26" ht="11.25" customHeight="1">
      <c r="A115" s="34"/>
      <c r="B115" s="24"/>
      <c r="C115" s="24"/>
      <c r="D115" s="24"/>
      <c r="E115" s="24"/>
      <c r="F115" s="25"/>
      <c r="G115" s="25"/>
      <c r="H115" s="25"/>
      <c r="I115" s="25"/>
      <c r="J115" s="24"/>
      <c r="K115" s="25"/>
      <c r="L115" s="25"/>
      <c r="M115" s="25"/>
      <c r="N115" s="25"/>
      <c r="O115" s="25"/>
      <c r="P115" s="25"/>
      <c r="Q115" s="25"/>
      <c r="R115" s="24"/>
      <c r="S115" s="26">
        <f t="shared" si="13"/>
        <v>0</v>
      </c>
      <c r="T115" s="26">
        <f>COUNTIF($V$4:V115,V115)</f>
        <v>72</v>
      </c>
      <c r="U115" s="26" t="str">
        <f>IF(T115=1,COUNTIF($T$4:T115,1),"")</f>
        <v/>
      </c>
      <c r="V115" s="27" t="str">
        <f t="shared" si="15"/>
        <v/>
      </c>
      <c r="W115" s="27">
        <f t="shared" si="14"/>
        <v>0</v>
      </c>
      <c r="X115" s="28"/>
      <c r="Y115" s="27"/>
      <c r="Z115" s="27"/>
    </row>
    <row r="116" spans="1:26" ht="11.25" customHeight="1">
      <c r="A116" s="34"/>
      <c r="B116" s="24"/>
      <c r="C116" s="24"/>
      <c r="D116" s="24"/>
      <c r="E116" s="24"/>
      <c r="F116" s="25"/>
      <c r="G116" s="25"/>
      <c r="H116" s="25"/>
      <c r="I116" s="25"/>
      <c r="J116" s="24"/>
      <c r="K116" s="25"/>
      <c r="L116" s="25"/>
      <c r="M116" s="25"/>
      <c r="N116" s="25"/>
      <c r="O116" s="25"/>
      <c r="P116" s="25"/>
      <c r="Q116" s="25"/>
      <c r="R116" s="24"/>
      <c r="S116" s="26">
        <f t="shared" si="13"/>
        <v>0</v>
      </c>
      <c r="T116" s="26">
        <f>COUNTIF($V$4:V116,V116)</f>
        <v>73</v>
      </c>
      <c r="U116" s="26" t="str">
        <f>IF(T116=1,COUNTIF($T$4:T116,1),"")</f>
        <v/>
      </c>
      <c r="V116" s="27" t="str">
        <f t="shared" si="15"/>
        <v/>
      </c>
      <c r="W116" s="27">
        <f t="shared" si="14"/>
        <v>0</v>
      </c>
      <c r="X116" s="28"/>
      <c r="Y116" s="27"/>
      <c r="Z116" s="27"/>
    </row>
    <row r="117" spans="1:26" ht="11.25" customHeight="1">
      <c r="A117" s="34"/>
      <c r="B117" s="24"/>
      <c r="C117" s="24"/>
      <c r="D117" s="24"/>
      <c r="E117" s="24"/>
      <c r="F117" s="25"/>
      <c r="G117" s="25"/>
      <c r="H117" s="25"/>
      <c r="I117" s="25"/>
      <c r="J117" s="24"/>
      <c r="K117" s="25"/>
      <c r="L117" s="25"/>
      <c r="M117" s="25"/>
      <c r="N117" s="25"/>
      <c r="O117" s="25"/>
      <c r="P117" s="25"/>
      <c r="Q117" s="25"/>
      <c r="R117" s="24"/>
      <c r="S117" s="26">
        <f t="shared" si="13"/>
        <v>0</v>
      </c>
      <c r="T117" s="26">
        <f>COUNTIF($V$4:V117,V117)</f>
        <v>74</v>
      </c>
      <c r="U117" s="26" t="str">
        <f>IF(T117=1,COUNTIF($T$4:T117,1),"")</f>
        <v/>
      </c>
      <c r="V117" s="27" t="str">
        <f t="shared" si="15"/>
        <v/>
      </c>
      <c r="W117" s="27">
        <f t="shared" si="14"/>
        <v>0</v>
      </c>
      <c r="X117" s="28"/>
      <c r="Y117" s="27"/>
      <c r="Z117" s="27"/>
    </row>
    <row r="118" spans="1:26" ht="11.25" customHeight="1">
      <c r="A118" s="34"/>
      <c r="B118" s="24"/>
      <c r="C118" s="24"/>
      <c r="D118" s="24"/>
      <c r="E118" s="24"/>
      <c r="F118" s="25"/>
      <c r="G118" s="25"/>
      <c r="H118" s="25"/>
      <c r="I118" s="25"/>
      <c r="J118" s="24"/>
      <c r="K118" s="25"/>
      <c r="L118" s="25"/>
      <c r="M118" s="25"/>
      <c r="N118" s="25"/>
      <c r="O118" s="25"/>
      <c r="P118" s="25"/>
      <c r="Q118" s="25"/>
      <c r="R118" s="24"/>
      <c r="S118" s="26">
        <f t="shared" si="13"/>
        <v>0</v>
      </c>
      <c r="T118" s="26">
        <f>COUNTIF($V$4:V118,V118)</f>
        <v>75</v>
      </c>
      <c r="U118" s="26" t="str">
        <f>IF(T118=1,COUNTIF($T$4:T118,1),"")</f>
        <v/>
      </c>
      <c r="V118" s="27" t="str">
        <f t="shared" si="15"/>
        <v/>
      </c>
      <c r="W118" s="27">
        <f t="shared" si="14"/>
        <v>0</v>
      </c>
      <c r="X118" s="28"/>
      <c r="Y118" s="27"/>
      <c r="Z118" s="27"/>
    </row>
    <row r="119" spans="1:26" ht="11.25" customHeight="1">
      <c r="A119" s="34"/>
      <c r="B119" s="24"/>
      <c r="C119" s="24"/>
      <c r="D119" s="24"/>
      <c r="E119" s="24"/>
      <c r="F119" s="25"/>
      <c r="G119" s="25"/>
      <c r="H119" s="25"/>
      <c r="I119" s="25"/>
      <c r="J119" s="24"/>
      <c r="K119" s="25"/>
      <c r="L119" s="25"/>
      <c r="M119" s="25"/>
      <c r="N119" s="25"/>
      <c r="O119" s="25"/>
      <c r="P119" s="25"/>
      <c r="Q119" s="25"/>
      <c r="R119" s="24"/>
      <c r="S119" s="26">
        <f t="shared" si="13"/>
        <v>0</v>
      </c>
      <c r="T119" s="26">
        <f>COUNTIF($V$4:V119,V119)</f>
        <v>76</v>
      </c>
      <c r="U119" s="26" t="str">
        <f>IF(T119=1,COUNTIF($T$4:T119,1),"")</f>
        <v/>
      </c>
      <c r="V119" s="27" t="str">
        <f t="shared" si="15"/>
        <v/>
      </c>
      <c r="W119" s="27">
        <f t="shared" si="14"/>
        <v>0</v>
      </c>
      <c r="X119" s="28"/>
      <c r="Y119" s="27"/>
      <c r="Z119" s="27"/>
    </row>
    <row r="120" spans="1:26" ht="11.25" customHeight="1">
      <c r="A120" s="34"/>
      <c r="B120" s="24"/>
      <c r="C120" s="24"/>
      <c r="D120" s="24"/>
      <c r="E120" s="24"/>
      <c r="F120" s="25"/>
      <c r="G120" s="25"/>
      <c r="H120" s="25"/>
      <c r="I120" s="25"/>
      <c r="J120" s="24"/>
      <c r="K120" s="25"/>
      <c r="L120" s="25"/>
      <c r="M120" s="25"/>
      <c r="N120" s="25"/>
      <c r="O120" s="25"/>
      <c r="P120" s="25"/>
      <c r="Q120" s="25"/>
      <c r="R120" s="24"/>
      <c r="S120" s="26">
        <f t="shared" si="13"/>
        <v>0</v>
      </c>
      <c r="T120" s="26">
        <f>COUNTIF($V$4:V120,V120)</f>
        <v>77</v>
      </c>
      <c r="U120" s="26" t="str">
        <f>IF(T120=1,COUNTIF($T$4:T120,1),"")</f>
        <v/>
      </c>
      <c r="V120" s="27" t="str">
        <f t="shared" si="15"/>
        <v/>
      </c>
      <c r="W120" s="27">
        <f t="shared" si="14"/>
        <v>0</v>
      </c>
      <c r="X120" s="28"/>
      <c r="Y120" s="27"/>
      <c r="Z120" s="27"/>
    </row>
    <row r="121" spans="1:26">
      <c r="A121" s="34"/>
      <c r="B121" s="24"/>
      <c r="C121" s="24"/>
      <c r="D121" s="24"/>
      <c r="E121" s="24"/>
      <c r="F121" s="25"/>
      <c r="G121" s="25"/>
      <c r="H121" s="25"/>
      <c r="I121" s="25"/>
      <c r="J121" s="24"/>
      <c r="K121" s="25"/>
      <c r="L121" s="25"/>
      <c r="M121" s="25"/>
      <c r="N121" s="25"/>
      <c r="O121" s="25"/>
      <c r="P121" s="25"/>
      <c r="Q121" s="25"/>
      <c r="R121" s="24"/>
      <c r="S121" s="26">
        <f t="shared" si="13"/>
        <v>0</v>
      </c>
      <c r="T121" s="26">
        <f>COUNTIF($V$4:V121,V121)</f>
        <v>78</v>
      </c>
      <c r="U121" s="26" t="str">
        <f>IF(T121=1,COUNTIF($T$4:T121,1),"")</f>
        <v/>
      </c>
      <c r="V121" s="27" t="str">
        <f t="shared" si="15"/>
        <v/>
      </c>
      <c r="W121" s="27">
        <f t="shared" si="14"/>
        <v>0</v>
      </c>
      <c r="X121" s="28"/>
      <c r="Y121" s="27"/>
      <c r="Z121" s="27"/>
    </row>
    <row r="122" spans="1:26" ht="11.25" customHeight="1">
      <c r="A122" s="34"/>
      <c r="B122" s="24"/>
      <c r="C122" s="24"/>
      <c r="D122" s="24"/>
      <c r="E122" s="24"/>
      <c r="F122" s="25"/>
      <c r="G122" s="25"/>
      <c r="H122" s="25"/>
      <c r="I122" s="25"/>
      <c r="J122" s="24"/>
      <c r="K122" s="25"/>
      <c r="L122" s="25"/>
      <c r="M122" s="25"/>
      <c r="N122" s="25"/>
      <c r="O122" s="25"/>
      <c r="P122" s="25"/>
      <c r="Q122" s="25"/>
      <c r="R122" s="24"/>
      <c r="S122" s="26">
        <f t="shared" si="13"/>
        <v>0</v>
      </c>
      <c r="T122" s="26">
        <f>COUNTIF($V$4:V122,V122)</f>
        <v>79</v>
      </c>
      <c r="U122" s="26" t="str">
        <f>IF(T122=1,COUNTIF($T$4:T122,1),"")</f>
        <v/>
      </c>
      <c r="V122" s="27" t="str">
        <f t="shared" si="15"/>
        <v/>
      </c>
      <c r="W122" s="27">
        <f t="shared" si="14"/>
        <v>0</v>
      </c>
      <c r="X122" s="28"/>
      <c r="Y122" s="27"/>
      <c r="Z122" s="27"/>
    </row>
    <row r="123" spans="1:26">
      <c r="A123" s="34"/>
      <c r="B123" s="24"/>
      <c r="C123" s="24"/>
      <c r="D123" s="24"/>
      <c r="E123" s="24"/>
      <c r="F123" s="25"/>
      <c r="G123" s="25"/>
      <c r="H123" s="25"/>
      <c r="I123" s="25"/>
      <c r="J123" s="24"/>
      <c r="K123" s="25"/>
      <c r="L123" s="25"/>
      <c r="M123" s="25"/>
      <c r="N123" s="25"/>
      <c r="O123" s="25"/>
      <c r="P123" s="25"/>
      <c r="Q123" s="25"/>
      <c r="R123" s="24"/>
      <c r="S123" s="26">
        <f t="shared" si="13"/>
        <v>0</v>
      </c>
      <c r="T123" s="26">
        <f>COUNTIF($V$4:V123,V123)</f>
        <v>80</v>
      </c>
      <c r="U123" s="26" t="str">
        <f>IF(T123=1,COUNTIF($T$4:T123,1),"")</f>
        <v/>
      </c>
      <c r="V123" s="27" t="str">
        <f t="shared" si="15"/>
        <v/>
      </c>
      <c r="W123" s="27">
        <f t="shared" si="14"/>
        <v>0</v>
      </c>
      <c r="X123" s="28"/>
      <c r="Y123" s="27"/>
      <c r="Z123" s="27"/>
    </row>
    <row r="124" spans="1:26" ht="11.25" customHeight="1">
      <c r="A124" s="34"/>
      <c r="B124" s="24"/>
      <c r="C124" s="24"/>
      <c r="D124" s="24"/>
      <c r="E124" s="24"/>
      <c r="F124" s="25"/>
      <c r="G124" s="25"/>
      <c r="H124" s="25"/>
      <c r="I124" s="25"/>
      <c r="J124" s="24"/>
      <c r="K124" s="25"/>
      <c r="L124" s="25"/>
      <c r="M124" s="25"/>
      <c r="N124" s="25"/>
      <c r="O124" s="25"/>
      <c r="P124" s="25"/>
      <c r="Q124" s="25"/>
      <c r="R124" s="24"/>
      <c r="S124" s="26">
        <f t="shared" si="13"/>
        <v>0</v>
      </c>
      <c r="T124" s="26">
        <f>COUNTIF($V$4:V124,V124)</f>
        <v>81</v>
      </c>
      <c r="U124" s="26" t="str">
        <f>IF(T124=1,COUNTIF($T$4:T124,1),"")</f>
        <v/>
      </c>
      <c r="V124" s="27" t="str">
        <f t="shared" si="15"/>
        <v/>
      </c>
      <c r="W124" s="27">
        <f t="shared" si="14"/>
        <v>0</v>
      </c>
      <c r="X124" s="28"/>
      <c r="Y124" s="27"/>
      <c r="Z124" s="27"/>
    </row>
    <row r="125" spans="1:26" ht="11.25" customHeight="1">
      <c r="A125" s="34"/>
      <c r="B125" s="24"/>
      <c r="C125" s="24"/>
      <c r="D125" s="24"/>
      <c r="E125" s="24"/>
      <c r="F125" s="25"/>
      <c r="G125" s="25"/>
      <c r="H125" s="25"/>
      <c r="I125" s="25"/>
      <c r="J125" s="24"/>
      <c r="K125" s="25"/>
      <c r="L125" s="25"/>
      <c r="M125" s="25"/>
      <c r="N125" s="25"/>
      <c r="O125" s="25"/>
      <c r="P125" s="25"/>
      <c r="Q125" s="25"/>
      <c r="R125" s="24"/>
      <c r="S125" s="26">
        <f t="shared" si="13"/>
        <v>0</v>
      </c>
      <c r="T125" s="26">
        <f>COUNTIF($V$4:V125,V125)</f>
        <v>82</v>
      </c>
      <c r="U125" s="26" t="str">
        <f>IF(T125=1,COUNTIF($T$4:T125,1),"")</f>
        <v/>
      </c>
      <c r="V125" s="27" t="str">
        <f t="shared" si="15"/>
        <v/>
      </c>
      <c r="W125" s="27">
        <f t="shared" si="14"/>
        <v>0</v>
      </c>
      <c r="X125" s="28"/>
      <c r="Y125" s="27"/>
      <c r="Z125" s="27"/>
    </row>
    <row r="126" spans="1:26" ht="11.25" customHeight="1">
      <c r="A126" s="34"/>
      <c r="B126" s="24"/>
      <c r="C126" s="24"/>
      <c r="D126" s="24"/>
      <c r="E126" s="24"/>
      <c r="F126" s="25"/>
      <c r="G126" s="25"/>
      <c r="H126" s="25"/>
      <c r="I126" s="25"/>
      <c r="J126" s="24"/>
      <c r="K126" s="25"/>
      <c r="L126" s="25"/>
      <c r="M126" s="25"/>
      <c r="N126" s="25"/>
      <c r="O126" s="25"/>
      <c r="P126" s="25"/>
      <c r="Q126" s="25"/>
      <c r="R126" s="24"/>
      <c r="S126" s="26">
        <f t="shared" si="13"/>
        <v>0</v>
      </c>
      <c r="T126" s="26">
        <f>COUNTIF($V$4:V126,V126)</f>
        <v>83</v>
      </c>
      <c r="U126" s="26" t="str">
        <f>IF(T126=1,COUNTIF($T$4:T126,1),"")</f>
        <v/>
      </c>
      <c r="V126" s="27" t="str">
        <f t="shared" si="15"/>
        <v/>
      </c>
      <c r="W126" s="27">
        <f t="shared" si="14"/>
        <v>0</v>
      </c>
      <c r="X126" s="28"/>
      <c r="Y126" s="27"/>
      <c r="Z126" s="27"/>
    </row>
    <row r="127" spans="1:26" ht="11.25" customHeight="1">
      <c r="A127" s="34"/>
      <c r="B127" s="24"/>
      <c r="C127" s="24"/>
      <c r="D127" s="24"/>
      <c r="E127" s="24"/>
      <c r="F127" s="25"/>
      <c r="G127" s="25"/>
      <c r="H127" s="25"/>
      <c r="I127" s="25"/>
      <c r="J127" s="24"/>
      <c r="K127" s="25"/>
      <c r="L127" s="25"/>
      <c r="M127" s="25"/>
      <c r="N127" s="25"/>
      <c r="O127" s="25"/>
      <c r="P127" s="25"/>
      <c r="Q127" s="25"/>
      <c r="R127" s="24"/>
      <c r="S127" s="26">
        <f t="shared" si="13"/>
        <v>0</v>
      </c>
      <c r="T127" s="26">
        <f>COUNTIF($V$4:V127,V127)</f>
        <v>84</v>
      </c>
      <c r="U127" s="26" t="str">
        <f>IF(T127=1,COUNTIF($T$4:T127,1),"")</f>
        <v/>
      </c>
      <c r="V127" s="27" t="str">
        <f t="shared" si="15"/>
        <v/>
      </c>
      <c r="W127" s="27">
        <f t="shared" si="14"/>
        <v>0</v>
      </c>
      <c r="X127" s="28"/>
      <c r="Y127" s="27"/>
      <c r="Z127" s="27"/>
    </row>
    <row r="128" spans="1:26" ht="11.25" customHeight="1">
      <c r="A128" s="34"/>
      <c r="B128" s="24"/>
      <c r="C128" s="24"/>
      <c r="D128" s="24"/>
      <c r="E128" s="24"/>
      <c r="F128" s="25"/>
      <c r="G128" s="25"/>
      <c r="H128" s="25"/>
      <c r="I128" s="25"/>
      <c r="J128" s="24"/>
      <c r="K128" s="25"/>
      <c r="L128" s="25"/>
      <c r="M128" s="25"/>
      <c r="N128" s="25"/>
      <c r="O128" s="25"/>
      <c r="P128" s="25"/>
      <c r="Q128" s="25"/>
      <c r="R128" s="24"/>
      <c r="S128" s="26">
        <f t="shared" si="13"/>
        <v>0</v>
      </c>
      <c r="T128" s="26">
        <f>COUNTIF($V$4:V128,V128)</f>
        <v>85</v>
      </c>
      <c r="U128" s="26" t="str">
        <f>IF(T128=1,COUNTIF($T$4:T128,1),"")</f>
        <v/>
      </c>
      <c r="V128" s="27" t="str">
        <f t="shared" si="15"/>
        <v/>
      </c>
      <c r="W128" s="27">
        <f t="shared" si="14"/>
        <v>0</v>
      </c>
      <c r="X128" s="28"/>
      <c r="Y128" s="27"/>
    </row>
    <row r="129" spans="1:257" ht="11.25" customHeight="1">
      <c r="A129" s="34"/>
      <c r="B129" s="24"/>
      <c r="C129" s="24"/>
      <c r="D129" s="24"/>
      <c r="E129" s="24"/>
      <c r="F129" s="25"/>
      <c r="G129" s="25"/>
      <c r="H129" s="25"/>
      <c r="I129" s="25"/>
      <c r="J129" s="24"/>
      <c r="K129" s="25"/>
      <c r="L129" s="25"/>
      <c r="M129" s="25"/>
      <c r="N129" s="25"/>
      <c r="O129" s="25"/>
      <c r="P129" s="25"/>
      <c r="Q129" s="25"/>
      <c r="R129" s="24"/>
      <c r="S129" s="26">
        <f t="shared" si="13"/>
        <v>0</v>
      </c>
      <c r="T129" s="26">
        <f>COUNTIF($V$4:V129,V129)</f>
        <v>86</v>
      </c>
      <c r="U129" s="26" t="str">
        <f>IF(T129=1,COUNTIF($T$4:T129,1),"")</f>
        <v/>
      </c>
      <c r="V129" s="27" t="str">
        <f t="shared" si="15"/>
        <v/>
      </c>
      <c r="W129" s="27">
        <f t="shared" si="14"/>
        <v>0</v>
      </c>
      <c r="X129" s="28"/>
      <c r="Y129" s="27"/>
    </row>
    <row r="130" spans="1:257" s="38" customFormat="1" ht="11.25" customHeight="1">
      <c r="A130" s="34"/>
      <c r="B130" s="24"/>
      <c r="C130" s="24"/>
      <c r="D130" s="24"/>
      <c r="E130" s="24"/>
      <c r="F130" s="25"/>
      <c r="G130" s="25"/>
      <c r="H130" s="25"/>
      <c r="I130" s="25"/>
      <c r="J130" s="24"/>
      <c r="K130" s="25"/>
      <c r="L130" s="25"/>
      <c r="M130" s="25"/>
      <c r="N130" s="25"/>
      <c r="O130" s="25"/>
      <c r="P130" s="25"/>
      <c r="Q130" s="25"/>
      <c r="R130" s="24"/>
      <c r="S130" s="26">
        <f t="shared" si="13"/>
        <v>0</v>
      </c>
      <c r="T130" s="26">
        <f>COUNTIF($V$4:V130,V130)</f>
        <v>87</v>
      </c>
      <c r="U130" s="26" t="str">
        <f>IF(T130=1,COUNTIF($T$4:T130,1),"")</f>
        <v/>
      </c>
      <c r="V130" s="27" t="str">
        <f t="shared" si="15"/>
        <v/>
      </c>
      <c r="W130" s="27">
        <f t="shared" si="14"/>
        <v>0</v>
      </c>
      <c r="X130" s="28"/>
      <c r="Y130" s="27"/>
      <c r="Z130" s="10"/>
      <c r="AA130" s="10"/>
      <c r="AB130" s="10"/>
      <c r="AC130" s="10"/>
      <c r="AD130" s="10"/>
      <c r="AE130" s="10"/>
      <c r="AF130" s="10"/>
      <c r="AG130" s="10"/>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c r="IV130" s="12"/>
      <c r="IW130" s="12"/>
    </row>
    <row r="131" spans="1:257" ht="11.25" customHeight="1">
      <c r="A131" s="34"/>
      <c r="B131" s="24"/>
      <c r="C131" s="24"/>
      <c r="D131" s="24"/>
      <c r="E131" s="24"/>
      <c r="F131" s="25"/>
      <c r="G131" s="25"/>
      <c r="H131" s="25"/>
      <c r="I131" s="25"/>
      <c r="J131" s="24"/>
      <c r="K131" s="25"/>
      <c r="L131" s="25"/>
      <c r="M131" s="25"/>
      <c r="N131" s="25"/>
      <c r="O131" s="25"/>
      <c r="P131" s="25"/>
      <c r="Q131" s="25"/>
      <c r="R131" s="24"/>
      <c r="S131" s="26">
        <f t="shared" si="13"/>
        <v>0</v>
      </c>
      <c r="T131" s="26">
        <f>COUNTIF($V$4:V131,V131)</f>
        <v>88</v>
      </c>
      <c r="U131" s="26" t="str">
        <f>IF(T131=1,COUNTIF($T$4:T131,1),"")</f>
        <v/>
      </c>
      <c r="V131" s="27" t="str">
        <f t="shared" si="15"/>
        <v/>
      </c>
      <c r="W131" s="27">
        <f t="shared" si="14"/>
        <v>0</v>
      </c>
      <c r="X131" s="28"/>
      <c r="Y131" s="27"/>
      <c r="Z131" s="44"/>
      <c r="AA131" s="44"/>
      <c r="AB131" s="44"/>
      <c r="AC131" s="44"/>
      <c r="AD131" s="44"/>
      <c r="AE131" s="44"/>
      <c r="AF131" s="44"/>
      <c r="AG131" s="44"/>
    </row>
    <row r="132" spans="1:257" ht="11.25" customHeight="1">
      <c r="A132" s="34"/>
      <c r="B132" s="24"/>
      <c r="C132" s="24"/>
      <c r="D132" s="24"/>
      <c r="E132" s="24"/>
      <c r="F132" s="25"/>
      <c r="G132" s="25"/>
      <c r="H132" s="25"/>
      <c r="I132" s="25"/>
      <c r="J132" s="24"/>
      <c r="K132" s="25"/>
      <c r="L132" s="25"/>
      <c r="M132" s="25"/>
      <c r="N132" s="25"/>
      <c r="O132" s="25"/>
      <c r="P132" s="25"/>
      <c r="Q132" s="25"/>
      <c r="R132" s="24"/>
      <c r="S132" s="26">
        <f t="shared" ref="S132:S195" si="16">A132</f>
        <v>0</v>
      </c>
      <c r="T132" s="26">
        <f>COUNTIF($V$4:V132,V132)</f>
        <v>89</v>
      </c>
      <c r="U132" s="26" t="str">
        <f>IF(T132=1,COUNTIF($T$4:T132,1),"")</f>
        <v/>
      </c>
      <c r="V132" s="27" t="str">
        <f t="shared" si="15"/>
        <v/>
      </c>
      <c r="W132" s="27">
        <f t="shared" ref="W132:W195" si="17">$F132</f>
        <v>0</v>
      </c>
      <c r="X132" s="28"/>
      <c r="Y132" s="27"/>
    </row>
    <row r="133" spans="1:257" ht="11.25" customHeight="1">
      <c r="A133" s="34"/>
      <c r="B133" s="24"/>
      <c r="C133" s="24"/>
      <c r="D133" s="24"/>
      <c r="E133" s="24"/>
      <c r="F133" s="25"/>
      <c r="G133" s="25"/>
      <c r="H133" s="25"/>
      <c r="I133" s="25"/>
      <c r="J133" s="24"/>
      <c r="K133" s="25"/>
      <c r="L133" s="25"/>
      <c r="M133" s="25"/>
      <c r="N133" s="25"/>
      <c r="O133" s="25"/>
      <c r="P133" s="25"/>
      <c r="Q133" s="25"/>
      <c r="R133" s="24"/>
      <c r="S133" s="26">
        <f t="shared" si="16"/>
        <v>0</v>
      </c>
      <c r="T133" s="26">
        <f>COUNTIF($V$4:V133,V133)</f>
        <v>90</v>
      </c>
      <c r="U133" s="26" t="str">
        <f>IF(T133=1,COUNTIF($T$4:T133,1),"")</f>
        <v/>
      </c>
      <c r="V133" s="27" t="str">
        <f t="shared" ref="V133:V196" si="18">$E133&amp;$C133</f>
        <v/>
      </c>
      <c r="W133" s="27">
        <f t="shared" si="17"/>
        <v>0</v>
      </c>
      <c r="X133" s="28"/>
      <c r="Y133" s="27"/>
    </row>
    <row r="134" spans="1:257" ht="11.25" customHeight="1">
      <c r="A134" s="34"/>
      <c r="B134" s="24"/>
      <c r="C134" s="24"/>
      <c r="D134" s="24"/>
      <c r="E134" s="24"/>
      <c r="F134" s="25"/>
      <c r="G134" s="25"/>
      <c r="H134" s="25"/>
      <c r="I134" s="25"/>
      <c r="J134" s="24"/>
      <c r="K134" s="25"/>
      <c r="L134" s="25"/>
      <c r="M134" s="25"/>
      <c r="N134" s="25"/>
      <c r="O134" s="25"/>
      <c r="P134" s="25"/>
      <c r="Q134" s="25"/>
      <c r="R134" s="24"/>
      <c r="S134" s="26">
        <f t="shared" si="16"/>
        <v>0</v>
      </c>
      <c r="T134" s="26">
        <f>COUNTIF($V$4:V134,V134)</f>
        <v>91</v>
      </c>
      <c r="U134" s="26" t="str">
        <f>IF(T134=1,COUNTIF($T$4:T134,1),"")</f>
        <v/>
      </c>
      <c r="V134" s="27" t="str">
        <f t="shared" si="18"/>
        <v/>
      </c>
      <c r="W134" s="27">
        <f t="shared" si="17"/>
        <v>0</v>
      </c>
      <c r="X134" s="28"/>
      <c r="Y134" s="27"/>
    </row>
    <row r="135" spans="1:257" ht="11.25" customHeight="1">
      <c r="A135" s="34"/>
      <c r="B135" s="24"/>
      <c r="C135" s="24"/>
      <c r="D135" s="24"/>
      <c r="E135" s="24"/>
      <c r="F135" s="25"/>
      <c r="G135" s="25"/>
      <c r="H135" s="25"/>
      <c r="I135" s="25"/>
      <c r="J135" s="24"/>
      <c r="K135" s="25"/>
      <c r="L135" s="25"/>
      <c r="M135" s="25"/>
      <c r="N135" s="25"/>
      <c r="O135" s="25"/>
      <c r="P135" s="25"/>
      <c r="Q135" s="25"/>
      <c r="R135" s="24"/>
      <c r="S135" s="26">
        <f t="shared" si="16"/>
        <v>0</v>
      </c>
      <c r="T135" s="26">
        <f>COUNTIF($V$4:V135,V135)</f>
        <v>92</v>
      </c>
      <c r="U135" s="26" t="str">
        <f>IF(T135=1,COUNTIF($T$4:T135,1),"")</f>
        <v/>
      </c>
      <c r="V135" s="27" t="str">
        <f t="shared" si="18"/>
        <v/>
      </c>
      <c r="W135" s="27">
        <f t="shared" si="17"/>
        <v>0</v>
      </c>
      <c r="X135" s="28"/>
      <c r="Y135" s="27"/>
    </row>
    <row r="136" spans="1:257" ht="11.25" customHeight="1">
      <c r="A136" s="34"/>
      <c r="B136" s="24"/>
      <c r="C136" s="24"/>
      <c r="D136" s="24"/>
      <c r="E136" s="24"/>
      <c r="F136" s="25"/>
      <c r="G136" s="25"/>
      <c r="H136" s="25"/>
      <c r="I136" s="25"/>
      <c r="J136" s="24"/>
      <c r="K136" s="25"/>
      <c r="L136" s="25"/>
      <c r="M136" s="25"/>
      <c r="N136" s="25"/>
      <c r="O136" s="25"/>
      <c r="P136" s="25"/>
      <c r="Q136" s="25"/>
      <c r="R136" s="24"/>
      <c r="S136" s="26">
        <f t="shared" si="16"/>
        <v>0</v>
      </c>
      <c r="T136" s="26">
        <f>COUNTIF($V$4:V136,V136)</f>
        <v>93</v>
      </c>
      <c r="U136" s="26" t="str">
        <f>IF(T136=1,COUNTIF($T$4:T136,1),"")</f>
        <v/>
      </c>
      <c r="V136" s="27" t="str">
        <f t="shared" si="18"/>
        <v/>
      </c>
      <c r="W136" s="27">
        <f t="shared" si="17"/>
        <v>0</v>
      </c>
      <c r="X136" s="28"/>
      <c r="Y136" s="27"/>
    </row>
    <row r="137" spans="1:257" ht="11.25" customHeight="1">
      <c r="A137" s="34"/>
      <c r="B137" s="24"/>
      <c r="C137" s="24"/>
      <c r="D137" s="24"/>
      <c r="E137" s="24"/>
      <c r="F137" s="25"/>
      <c r="G137" s="25"/>
      <c r="H137" s="25"/>
      <c r="I137" s="25"/>
      <c r="J137" s="24"/>
      <c r="K137" s="25"/>
      <c r="L137" s="25"/>
      <c r="M137" s="25"/>
      <c r="N137" s="25"/>
      <c r="O137" s="25"/>
      <c r="P137" s="25"/>
      <c r="Q137" s="25"/>
      <c r="R137" s="24"/>
      <c r="S137" s="26">
        <f t="shared" si="16"/>
        <v>0</v>
      </c>
      <c r="T137" s="26">
        <f>COUNTIF($V$4:V137,V137)</f>
        <v>94</v>
      </c>
      <c r="U137" s="26" t="str">
        <f>IF(T137=1,COUNTIF($T$4:T137,1),"")</f>
        <v/>
      </c>
      <c r="V137" s="27" t="str">
        <f t="shared" si="18"/>
        <v/>
      </c>
      <c r="W137" s="27">
        <f t="shared" si="17"/>
        <v>0</v>
      </c>
      <c r="X137" s="28"/>
      <c r="Y137" s="27"/>
    </row>
    <row r="138" spans="1:257" ht="11.25" customHeight="1">
      <c r="A138" s="34"/>
      <c r="B138" s="24"/>
      <c r="C138" s="24"/>
      <c r="D138" s="24"/>
      <c r="E138" s="24"/>
      <c r="F138" s="25"/>
      <c r="G138" s="25"/>
      <c r="H138" s="25"/>
      <c r="I138" s="25"/>
      <c r="J138" s="24"/>
      <c r="K138" s="25"/>
      <c r="L138" s="25"/>
      <c r="M138" s="25"/>
      <c r="N138" s="25"/>
      <c r="O138" s="25"/>
      <c r="P138" s="25"/>
      <c r="Q138" s="25"/>
      <c r="R138" s="24"/>
      <c r="S138" s="26">
        <f t="shared" si="16"/>
        <v>0</v>
      </c>
      <c r="T138" s="26">
        <f>COUNTIF($V$4:V138,V138)</f>
        <v>95</v>
      </c>
      <c r="U138" s="26" t="str">
        <f>IF(T138=1,COUNTIF($T$4:T138,1),"")</f>
        <v/>
      </c>
      <c r="V138" s="27" t="str">
        <f t="shared" si="18"/>
        <v/>
      </c>
      <c r="W138" s="27">
        <f t="shared" si="17"/>
        <v>0</v>
      </c>
      <c r="X138" s="28"/>
      <c r="Y138" s="27"/>
    </row>
    <row r="139" spans="1:257" ht="11.25" customHeight="1">
      <c r="A139" s="34"/>
      <c r="B139" s="24"/>
      <c r="C139" s="24"/>
      <c r="D139" s="24"/>
      <c r="E139" s="24"/>
      <c r="F139" s="25"/>
      <c r="G139" s="25"/>
      <c r="H139" s="25"/>
      <c r="I139" s="25"/>
      <c r="J139" s="24"/>
      <c r="K139" s="25"/>
      <c r="L139" s="25"/>
      <c r="M139" s="25"/>
      <c r="N139" s="25"/>
      <c r="O139" s="25"/>
      <c r="P139" s="25"/>
      <c r="Q139" s="25"/>
      <c r="R139" s="24"/>
      <c r="S139" s="26">
        <f t="shared" si="16"/>
        <v>0</v>
      </c>
      <c r="T139" s="26">
        <f>COUNTIF($V$4:V139,V139)</f>
        <v>96</v>
      </c>
      <c r="U139" s="26" t="str">
        <f>IF(T139=1,COUNTIF($T$4:T139,1),"")</f>
        <v/>
      </c>
      <c r="V139" s="27" t="str">
        <f t="shared" si="18"/>
        <v/>
      </c>
      <c r="W139" s="27">
        <f t="shared" si="17"/>
        <v>0</v>
      </c>
      <c r="X139" s="28"/>
      <c r="Y139" s="27"/>
    </row>
    <row r="140" spans="1:257" ht="11.25" customHeight="1">
      <c r="A140" s="34"/>
      <c r="B140" s="24"/>
      <c r="C140" s="24"/>
      <c r="D140" s="24"/>
      <c r="E140" s="24"/>
      <c r="F140" s="25"/>
      <c r="G140" s="25"/>
      <c r="H140" s="25"/>
      <c r="I140" s="25"/>
      <c r="J140" s="24"/>
      <c r="K140" s="25"/>
      <c r="L140" s="25"/>
      <c r="M140" s="25"/>
      <c r="N140" s="25"/>
      <c r="O140" s="25"/>
      <c r="P140" s="25"/>
      <c r="Q140" s="25"/>
      <c r="R140" s="24"/>
      <c r="S140" s="26">
        <f t="shared" si="16"/>
        <v>0</v>
      </c>
      <c r="T140" s="26">
        <f>COUNTIF($V$4:V140,V140)</f>
        <v>97</v>
      </c>
      <c r="U140" s="26" t="str">
        <f>IF(T140=1,COUNTIF($T$4:T140,1),"")</f>
        <v/>
      </c>
      <c r="V140" s="27" t="str">
        <f t="shared" si="18"/>
        <v/>
      </c>
      <c r="W140" s="27">
        <f t="shared" si="17"/>
        <v>0</v>
      </c>
      <c r="X140" s="28"/>
      <c r="Y140" s="27"/>
    </row>
    <row r="141" spans="1:257" ht="11.25" customHeight="1">
      <c r="A141" s="34"/>
      <c r="B141" s="24"/>
      <c r="C141" s="24"/>
      <c r="D141" s="24"/>
      <c r="E141" s="24"/>
      <c r="F141" s="25"/>
      <c r="G141" s="25"/>
      <c r="H141" s="25"/>
      <c r="I141" s="25"/>
      <c r="J141" s="24"/>
      <c r="K141" s="25"/>
      <c r="L141" s="25"/>
      <c r="M141" s="25"/>
      <c r="N141" s="25"/>
      <c r="O141" s="25"/>
      <c r="P141" s="25"/>
      <c r="Q141" s="25"/>
      <c r="R141" s="24"/>
      <c r="S141" s="26">
        <f t="shared" si="16"/>
        <v>0</v>
      </c>
      <c r="T141" s="26">
        <f>COUNTIF($V$4:V141,V141)</f>
        <v>98</v>
      </c>
      <c r="U141" s="26" t="str">
        <f>IF(T141=1,COUNTIF($T$4:T141,1),"")</f>
        <v/>
      </c>
      <c r="V141" s="27" t="str">
        <f t="shared" si="18"/>
        <v/>
      </c>
      <c r="W141" s="27">
        <f t="shared" si="17"/>
        <v>0</v>
      </c>
      <c r="X141" s="28"/>
      <c r="Y141" s="27"/>
    </row>
    <row r="142" spans="1:257" ht="11.25" customHeight="1">
      <c r="A142" s="34"/>
      <c r="B142" s="24"/>
      <c r="C142" s="24"/>
      <c r="D142" s="24"/>
      <c r="E142" s="24"/>
      <c r="F142" s="25"/>
      <c r="G142" s="25"/>
      <c r="H142" s="25"/>
      <c r="I142" s="25"/>
      <c r="J142" s="24"/>
      <c r="K142" s="25"/>
      <c r="L142" s="25"/>
      <c r="M142" s="25"/>
      <c r="N142" s="25"/>
      <c r="O142" s="25"/>
      <c r="P142" s="25"/>
      <c r="Q142" s="25"/>
      <c r="R142" s="24"/>
      <c r="S142" s="26">
        <f t="shared" si="16"/>
        <v>0</v>
      </c>
      <c r="T142" s="26">
        <f>COUNTIF($V$4:V142,V142)</f>
        <v>99</v>
      </c>
      <c r="U142" s="26" t="str">
        <f>IF(T142=1,COUNTIF($T$4:T142,1),"")</f>
        <v/>
      </c>
      <c r="V142" s="27" t="str">
        <f t="shared" si="18"/>
        <v/>
      </c>
      <c r="W142" s="27">
        <f t="shared" si="17"/>
        <v>0</v>
      </c>
      <c r="X142" s="28"/>
      <c r="Y142" s="27"/>
    </row>
    <row r="143" spans="1:257" ht="11.25" customHeight="1">
      <c r="A143" s="34"/>
      <c r="B143" s="24"/>
      <c r="C143" s="24"/>
      <c r="D143" s="24"/>
      <c r="E143" s="24"/>
      <c r="F143" s="25"/>
      <c r="G143" s="25"/>
      <c r="H143" s="25"/>
      <c r="I143" s="25"/>
      <c r="J143" s="24"/>
      <c r="K143" s="25"/>
      <c r="L143" s="25"/>
      <c r="M143" s="25"/>
      <c r="N143" s="25"/>
      <c r="O143" s="25"/>
      <c r="P143" s="25"/>
      <c r="Q143" s="25"/>
      <c r="R143" s="24"/>
      <c r="S143" s="26">
        <f t="shared" si="16"/>
        <v>0</v>
      </c>
      <c r="T143" s="26">
        <f>COUNTIF($V$4:V143,V143)</f>
        <v>100</v>
      </c>
      <c r="U143" s="26" t="str">
        <f>IF(T143=1,COUNTIF($T$4:T143,1),"")</f>
        <v/>
      </c>
      <c r="V143" s="27" t="str">
        <f t="shared" si="18"/>
        <v/>
      </c>
      <c r="W143" s="27">
        <f t="shared" si="17"/>
        <v>0</v>
      </c>
      <c r="X143" s="28"/>
      <c r="Y143" s="27"/>
    </row>
    <row r="144" spans="1:257" ht="11.25" customHeight="1">
      <c r="A144" s="34"/>
      <c r="B144" s="24"/>
      <c r="C144" s="24"/>
      <c r="D144" s="24"/>
      <c r="E144" s="24"/>
      <c r="F144" s="25"/>
      <c r="G144" s="25"/>
      <c r="H144" s="25"/>
      <c r="I144" s="25"/>
      <c r="J144" s="24"/>
      <c r="K144" s="25"/>
      <c r="L144" s="25"/>
      <c r="M144" s="25"/>
      <c r="N144" s="25"/>
      <c r="O144" s="25"/>
      <c r="P144" s="25"/>
      <c r="Q144" s="25"/>
      <c r="R144" s="24"/>
      <c r="S144" s="26">
        <f t="shared" si="16"/>
        <v>0</v>
      </c>
      <c r="T144" s="26">
        <f>COUNTIF($V$4:V144,V144)</f>
        <v>101</v>
      </c>
      <c r="U144" s="26" t="str">
        <f>IF(T144=1,COUNTIF($T$4:T144,1),"")</f>
        <v/>
      </c>
      <c r="V144" s="27" t="str">
        <f t="shared" si="18"/>
        <v/>
      </c>
      <c r="W144" s="27">
        <f t="shared" si="17"/>
        <v>0</v>
      </c>
      <c r="X144" s="28"/>
      <c r="Y144" s="27"/>
    </row>
    <row r="145" spans="1:257" ht="11.25" customHeight="1">
      <c r="A145" s="34"/>
      <c r="B145" s="24"/>
      <c r="C145" s="24"/>
      <c r="D145" s="24"/>
      <c r="E145" s="24"/>
      <c r="F145" s="25"/>
      <c r="G145" s="25"/>
      <c r="H145" s="25"/>
      <c r="I145" s="25"/>
      <c r="J145" s="24"/>
      <c r="K145" s="25"/>
      <c r="L145" s="25"/>
      <c r="M145" s="25"/>
      <c r="N145" s="25"/>
      <c r="O145" s="25"/>
      <c r="P145" s="25"/>
      <c r="Q145" s="25"/>
      <c r="R145" s="24"/>
      <c r="S145" s="26">
        <f t="shared" si="16"/>
        <v>0</v>
      </c>
      <c r="T145" s="26">
        <f>COUNTIF($V$4:V145,V145)</f>
        <v>102</v>
      </c>
      <c r="U145" s="26" t="str">
        <f>IF(T145=1,COUNTIF($T$4:T145,1),"")</f>
        <v/>
      </c>
      <c r="V145" s="27" t="str">
        <f t="shared" si="18"/>
        <v/>
      </c>
      <c r="W145" s="27">
        <f t="shared" si="17"/>
        <v>0</v>
      </c>
      <c r="X145" s="28"/>
      <c r="Y145" s="27"/>
    </row>
    <row r="146" spans="1:257" ht="11.25" customHeight="1">
      <c r="A146" s="34"/>
      <c r="B146" s="24"/>
      <c r="C146" s="24"/>
      <c r="D146" s="24"/>
      <c r="E146" s="24"/>
      <c r="F146" s="25"/>
      <c r="G146" s="25"/>
      <c r="H146" s="25"/>
      <c r="I146" s="25"/>
      <c r="J146" s="24"/>
      <c r="K146" s="25"/>
      <c r="L146" s="25"/>
      <c r="M146" s="25"/>
      <c r="N146" s="25"/>
      <c r="O146" s="25"/>
      <c r="P146" s="25"/>
      <c r="Q146" s="25"/>
      <c r="R146" s="24"/>
      <c r="S146" s="26">
        <f t="shared" si="16"/>
        <v>0</v>
      </c>
      <c r="T146" s="26">
        <f>COUNTIF($V$4:V146,V146)</f>
        <v>103</v>
      </c>
      <c r="U146" s="26" t="str">
        <f>IF(T146=1,COUNTIF($T$4:T146,1),"")</f>
        <v/>
      </c>
      <c r="V146" s="27" t="str">
        <f t="shared" si="18"/>
        <v/>
      </c>
      <c r="W146" s="27">
        <f t="shared" si="17"/>
        <v>0</v>
      </c>
      <c r="X146" s="28"/>
      <c r="Y146" s="27"/>
    </row>
    <row r="147" spans="1:257" ht="11.25" customHeight="1">
      <c r="A147" s="34"/>
      <c r="B147" s="24"/>
      <c r="C147" s="24"/>
      <c r="D147" s="24"/>
      <c r="E147" s="24"/>
      <c r="F147" s="25"/>
      <c r="G147" s="25"/>
      <c r="H147" s="25"/>
      <c r="I147" s="25"/>
      <c r="J147" s="24"/>
      <c r="K147" s="25"/>
      <c r="L147" s="25"/>
      <c r="M147" s="25"/>
      <c r="N147" s="25"/>
      <c r="O147" s="25"/>
      <c r="P147" s="25"/>
      <c r="Q147" s="25"/>
      <c r="R147" s="24"/>
      <c r="S147" s="26">
        <f t="shared" si="16"/>
        <v>0</v>
      </c>
      <c r="T147" s="26">
        <f>COUNTIF($V$4:V147,V147)</f>
        <v>104</v>
      </c>
      <c r="U147" s="26" t="str">
        <f>IF(T147=1,COUNTIF($T$4:T147,1),"")</f>
        <v/>
      </c>
      <c r="V147" s="27" t="str">
        <f t="shared" si="18"/>
        <v/>
      </c>
      <c r="W147" s="27">
        <f t="shared" si="17"/>
        <v>0</v>
      </c>
      <c r="X147" s="28"/>
      <c r="Y147" s="27"/>
    </row>
    <row r="148" spans="1:257" ht="11.25" customHeight="1">
      <c r="A148" s="34"/>
      <c r="B148" s="24"/>
      <c r="C148" s="24"/>
      <c r="D148" s="24"/>
      <c r="E148" s="24"/>
      <c r="F148" s="25"/>
      <c r="G148" s="25"/>
      <c r="H148" s="25"/>
      <c r="I148" s="25"/>
      <c r="J148" s="24"/>
      <c r="K148" s="25"/>
      <c r="L148" s="25"/>
      <c r="M148" s="25"/>
      <c r="N148" s="25"/>
      <c r="O148" s="25"/>
      <c r="P148" s="25"/>
      <c r="Q148" s="25"/>
      <c r="R148" s="24"/>
      <c r="S148" s="26">
        <f t="shared" si="16"/>
        <v>0</v>
      </c>
      <c r="T148" s="26">
        <f>COUNTIF($V$4:V148,V148)</f>
        <v>105</v>
      </c>
      <c r="U148" s="26" t="str">
        <f>IF(T148=1,COUNTIF($T$4:T148,1),"")</f>
        <v/>
      </c>
      <c r="V148" s="27" t="str">
        <f t="shared" si="18"/>
        <v/>
      </c>
      <c r="W148" s="27">
        <f t="shared" si="17"/>
        <v>0</v>
      </c>
      <c r="X148" s="28"/>
      <c r="Y148" s="27"/>
    </row>
    <row r="149" spans="1:257" ht="11.25" customHeight="1">
      <c r="A149" s="34"/>
      <c r="B149" s="24"/>
      <c r="C149" s="24"/>
      <c r="D149" s="24"/>
      <c r="E149" s="24"/>
      <c r="F149" s="25"/>
      <c r="G149" s="25"/>
      <c r="H149" s="25"/>
      <c r="I149" s="25"/>
      <c r="J149" s="24"/>
      <c r="K149" s="25"/>
      <c r="L149" s="25"/>
      <c r="M149" s="25"/>
      <c r="N149" s="25"/>
      <c r="O149" s="25"/>
      <c r="P149" s="25"/>
      <c r="Q149" s="25"/>
      <c r="R149" s="24"/>
      <c r="S149" s="26">
        <f t="shared" si="16"/>
        <v>0</v>
      </c>
      <c r="T149" s="26">
        <f>COUNTIF($V$4:V149,V149)</f>
        <v>106</v>
      </c>
      <c r="U149" s="26" t="str">
        <f>IF(T149=1,COUNTIF($T$4:T149,1),"")</f>
        <v/>
      </c>
      <c r="V149" s="27" t="str">
        <f t="shared" si="18"/>
        <v/>
      </c>
      <c r="W149" s="27">
        <f t="shared" si="17"/>
        <v>0</v>
      </c>
      <c r="X149" s="28"/>
      <c r="Y149" s="27"/>
    </row>
    <row r="150" spans="1:257" ht="11.25" customHeight="1">
      <c r="A150" s="34"/>
      <c r="B150" s="24"/>
      <c r="C150" s="24"/>
      <c r="D150" s="24"/>
      <c r="E150" s="24"/>
      <c r="F150" s="25"/>
      <c r="G150" s="25"/>
      <c r="H150" s="25"/>
      <c r="I150" s="25"/>
      <c r="J150" s="24"/>
      <c r="K150" s="25"/>
      <c r="L150" s="25"/>
      <c r="M150" s="25"/>
      <c r="N150" s="25"/>
      <c r="O150" s="25"/>
      <c r="P150" s="25"/>
      <c r="Q150" s="25"/>
      <c r="R150" s="24"/>
      <c r="S150" s="26">
        <f t="shared" si="16"/>
        <v>0</v>
      </c>
      <c r="T150" s="26">
        <f>COUNTIF($V$4:V150,V150)</f>
        <v>107</v>
      </c>
      <c r="U150" s="26" t="str">
        <f>IF(T150=1,COUNTIF($T$4:T150,1),"")</f>
        <v/>
      </c>
      <c r="V150" s="27" t="str">
        <f t="shared" si="18"/>
        <v/>
      </c>
      <c r="W150" s="27">
        <f t="shared" si="17"/>
        <v>0</v>
      </c>
      <c r="X150" s="28"/>
      <c r="Y150" s="27"/>
    </row>
    <row r="151" spans="1:257" ht="11.25" customHeight="1">
      <c r="A151" s="34"/>
      <c r="B151" s="24"/>
      <c r="C151" s="24"/>
      <c r="D151" s="24"/>
      <c r="E151" s="24"/>
      <c r="F151" s="25"/>
      <c r="G151" s="25"/>
      <c r="H151" s="25"/>
      <c r="I151" s="25"/>
      <c r="J151" s="24"/>
      <c r="K151" s="25"/>
      <c r="L151" s="25"/>
      <c r="M151" s="25"/>
      <c r="N151" s="25"/>
      <c r="O151" s="25"/>
      <c r="P151" s="25"/>
      <c r="Q151" s="25"/>
      <c r="R151" s="24"/>
      <c r="S151" s="26">
        <f t="shared" si="16"/>
        <v>0</v>
      </c>
      <c r="T151" s="26">
        <f>COUNTIF($V$4:V151,V151)</f>
        <v>108</v>
      </c>
      <c r="U151" s="26" t="str">
        <f>IF(T151=1,COUNTIF($T$4:T151,1),"")</f>
        <v/>
      </c>
      <c r="V151" s="27" t="str">
        <f t="shared" si="18"/>
        <v/>
      </c>
      <c r="W151" s="27">
        <f t="shared" si="17"/>
        <v>0</v>
      </c>
      <c r="X151" s="28"/>
      <c r="Y151" s="27"/>
    </row>
    <row r="152" spans="1:257" ht="11.25" customHeight="1">
      <c r="A152" s="34"/>
      <c r="B152" s="24"/>
      <c r="C152" s="24"/>
      <c r="D152" s="24"/>
      <c r="E152" s="24"/>
      <c r="F152" s="25"/>
      <c r="G152" s="25"/>
      <c r="H152" s="25"/>
      <c r="I152" s="25"/>
      <c r="J152" s="24"/>
      <c r="K152" s="25"/>
      <c r="L152" s="25"/>
      <c r="M152" s="25"/>
      <c r="N152" s="25"/>
      <c r="O152" s="25"/>
      <c r="P152" s="25"/>
      <c r="Q152" s="25"/>
      <c r="R152" s="24"/>
      <c r="S152" s="26">
        <f t="shared" si="16"/>
        <v>0</v>
      </c>
      <c r="T152" s="26">
        <f>COUNTIF($V$4:V152,V152)</f>
        <v>109</v>
      </c>
      <c r="U152" s="26" t="str">
        <f>IF(T152=1,COUNTIF($T$4:T152,1),"")</f>
        <v/>
      </c>
      <c r="V152" s="27" t="str">
        <f t="shared" si="18"/>
        <v/>
      </c>
      <c r="W152" s="27">
        <f t="shared" si="17"/>
        <v>0</v>
      </c>
      <c r="X152" s="28"/>
      <c r="Y152" s="27"/>
    </row>
    <row r="153" spans="1:257" s="33" customFormat="1" ht="11.25" customHeight="1">
      <c r="A153" s="34"/>
      <c r="B153" s="24"/>
      <c r="C153" s="24"/>
      <c r="D153" s="24"/>
      <c r="E153" s="24"/>
      <c r="F153" s="25"/>
      <c r="G153" s="25"/>
      <c r="H153" s="25"/>
      <c r="I153" s="25"/>
      <c r="J153" s="24"/>
      <c r="K153" s="25"/>
      <c r="L153" s="25"/>
      <c r="M153" s="25"/>
      <c r="N153" s="25"/>
      <c r="O153" s="25"/>
      <c r="P153" s="25"/>
      <c r="Q153" s="25"/>
      <c r="R153" s="24"/>
      <c r="S153" s="26">
        <f t="shared" si="16"/>
        <v>0</v>
      </c>
      <c r="T153" s="26">
        <f>COUNTIF($V$4:V153,V153)</f>
        <v>110</v>
      </c>
      <c r="U153" s="26" t="str">
        <f>IF(T153=1,COUNTIF($T$4:T153,1),"")</f>
        <v/>
      </c>
      <c r="V153" s="27" t="str">
        <f t="shared" si="18"/>
        <v/>
      </c>
      <c r="W153" s="27">
        <f t="shared" si="17"/>
        <v>0</v>
      </c>
      <c r="X153" s="28"/>
      <c r="Y153" s="27"/>
      <c r="Z153" s="10"/>
      <c r="AA153" s="10"/>
      <c r="AB153" s="10"/>
      <c r="AC153" s="10"/>
      <c r="AD153" s="10"/>
      <c r="AE153" s="10"/>
      <c r="AF153" s="10"/>
      <c r="AG153" s="10"/>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c r="GW153" s="12"/>
      <c r="GX153" s="12"/>
      <c r="GY153" s="12"/>
      <c r="GZ153" s="12"/>
      <c r="HA153" s="12"/>
      <c r="HB153" s="12"/>
      <c r="HC153" s="12"/>
      <c r="HD153" s="12"/>
      <c r="HE153" s="12"/>
      <c r="HF153" s="12"/>
      <c r="HG153" s="12"/>
      <c r="HH153" s="12"/>
      <c r="HI153" s="12"/>
      <c r="HJ153" s="12"/>
      <c r="HK153" s="12"/>
      <c r="HL153" s="12"/>
      <c r="HM153" s="12"/>
      <c r="HN153" s="12"/>
      <c r="HO153" s="12"/>
      <c r="HP153" s="12"/>
      <c r="HQ153" s="12"/>
      <c r="HR153" s="12"/>
      <c r="HS153" s="12"/>
      <c r="HT153" s="12"/>
      <c r="HU153" s="12"/>
      <c r="HV153" s="12"/>
      <c r="HW153" s="12"/>
      <c r="HX153" s="12"/>
      <c r="HY153" s="12"/>
      <c r="HZ153" s="12"/>
      <c r="IA153" s="12"/>
      <c r="IB153" s="12"/>
      <c r="IC153" s="12"/>
      <c r="ID153" s="12"/>
      <c r="IE153" s="12"/>
      <c r="IF153" s="12"/>
      <c r="IG153" s="12"/>
      <c r="IH153" s="12"/>
      <c r="II153" s="12"/>
      <c r="IJ153" s="12"/>
      <c r="IK153" s="12"/>
      <c r="IL153" s="12"/>
      <c r="IM153" s="12"/>
      <c r="IN153" s="12"/>
      <c r="IO153" s="12"/>
      <c r="IP153" s="12"/>
      <c r="IQ153" s="12"/>
      <c r="IR153" s="12"/>
      <c r="IS153" s="12"/>
      <c r="IT153" s="12"/>
      <c r="IU153" s="12"/>
      <c r="IV153" s="12"/>
      <c r="IW153" s="12"/>
    </row>
    <row r="154" spans="1:257" ht="11.25" customHeight="1">
      <c r="A154" s="34"/>
      <c r="B154" s="24"/>
      <c r="C154" s="24"/>
      <c r="D154" s="24"/>
      <c r="E154" s="24"/>
      <c r="F154" s="25"/>
      <c r="G154" s="25"/>
      <c r="H154" s="25"/>
      <c r="I154" s="25"/>
      <c r="J154" s="24"/>
      <c r="K154" s="25"/>
      <c r="L154" s="25"/>
      <c r="M154" s="25"/>
      <c r="N154" s="25"/>
      <c r="O154" s="25"/>
      <c r="P154" s="25"/>
      <c r="Q154" s="25"/>
      <c r="R154" s="24"/>
      <c r="S154" s="26">
        <f t="shared" si="16"/>
        <v>0</v>
      </c>
      <c r="T154" s="26">
        <f>COUNTIF($V$4:V154,V154)</f>
        <v>111</v>
      </c>
      <c r="U154" s="26" t="str">
        <f>IF(T154=1,COUNTIF($T$4:T154,1),"")</f>
        <v/>
      </c>
      <c r="V154" s="27" t="str">
        <f t="shared" si="18"/>
        <v/>
      </c>
      <c r="W154" s="27">
        <f t="shared" si="17"/>
        <v>0</v>
      </c>
      <c r="X154" s="28"/>
      <c r="Y154" s="27"/>
      <c r="Z154" s="27"/>
      <c r="AA154" s="27"/>
      <c r="AB154" s="27"/>
      <c r="AC154" s="27"/>
      <c r="AD154" s="27"/>
      <c r="AE154" s="27"/>
      <c r="AF154" s="27"/>
      <c r="AG154" s="27"/>
    </row>
    <row r="155" spans="1:257" ht="11.25" customHeight="1">
      <c r="A155" s="34"/>
      <c r="B155" s="24"/>
      <c r="C155" s="24"/>
      <c r="D155" s="24"/>
      <c r="E155" s="24"/>
      <c r="F155" s="25"/>
      <c r="G155" s="25"/>
      <c r="H155" s="25"/>
      <c r="I155" s="25"/>
      <c r="J155" s="24"/>
      <c r="K155" s="25"/>
      <c r="L155" s="25"/>
      <c r="M155" s="25"/>
      <c r="N155" s="25"/>
      <c r="O155" s="25"/>
      <c r="P155" s="25"/>
      <c r="Q155" s="25"/>
      <c r="R155" s="24"/>
      <c r="S155" s="26">
        <f t="shared" si="16"/>
        <v>0</v>
      </c>
      <c r="T155" s="26">
        <f>COUNTIF($V$4:V155,V155)</f>
        <v>112</v>
      </c>
      <c r="U155" s="26" t="str">
        <f>IF(T155=1,COUNTIF($T$4:T155,1),"")</f>
        <v/>
      </c>
      <c r="V155" s="27" t="str">
        <f t="shared" si="18"/>
        <v/>
      </c>
      <c r="W155" s="27">
        <f t="shared" si="17"/>
        <v>0</v>
      </c>
      <c r="X155" s="28"/>
      <c r="Y155" s="27"/>
    </row>
    <row r="156" spans="1:257" ht="11.25" customHeight="1">
      <c r="A156" s="34"/>
      <c r="B156" s="24"/>
      <c r="C156" s="24"/>
      <c r="D156" s="24"/>
      <c r="E156" s="24"/>
      <c r="F156" s="25"/>
      <c r="G156" s="25"/>
      <c r="H156" s="25"/>
      <c r="I156" s="25"/>
      <c r="J156" s="24"/>
      <c r="K156" s="25"/>
      <c r="L156" s="25"/>
      <c r="M156" s="25"/>
      <c r="N156" s="25"/>
      <c r="O156" s="25"/>
      <c r="P156" s="25"/>
      <c r="Q156" s="25"/>
      <c r="R156" s="24"/>
      <c r="S156" s="26">
        <f t="shared" si="16"/>
        <v>0</v>
      </c>
      <c r="T156" s="26">
        <f>COUNTIF($V$4:V156,V156)</f>
        <v>113</v>
      </c>
      <c r="U156" s="26" t="str">
        <f>IF(T156=1,COUNTIF($T$4:T156,1),"")</f>
        <v/>
      </c>
      <c r="V156" s="27" t="str">
        <f t="shared" si="18"/>
        <v/>
      </c>
      <c r="W156" s="27">
        <f t="shared" si="17"/>
        <v>0</v>
      </c>
      <c r="X156" s="28"/>
      <c r="Y156" s="27"/>
    </row>
    <row r="157" spans="1:257" ht="11.25" customHeight="1">
      <c r="A157" s="34"/>
      <c r="B157" s="24"/>
      <c r="C157" s="24"/>
      <c r="D157" s="24"/>
      <c r="E157" s="24"/>
      <c r="F157" s="25"/>
      <c r="G157" s="25"/>
      <c r="H157" s="25"/>
      <c r="I157" s="25"/>
      <c r="J157" s="24"/>
      <c r="K157" s="25"/>
      <c r="L157" s="25"/>
      <c r="M157" s="25"/>
      <c r="N157" s="25"/>
      <c r="O157" s="25"/>
      <c r="P157" s="25"/>
      <c r="Q157" s="25"/>
      <c r="R157" s="24"/>
      <c r="S157" s="26">
        <f t="shared" si="16"/>
        <v>0</v>
      </c>
      <c r="T157" s="26">
        <f>COUNTIF($V$4:V157,V157)</f>
        <v>114</v>
      </c>
      <c r="U157" s="26" t="str">
        <f>IF(T157=1,COUNTIF($T$4:T157,1),"")</f>
        <v/>
      </c>
      <c r="V157" s="27" t="str">
        <f t="shared" si="18"/>
        <v/>
      </c>
      <c r="W157" s="27">
        <f t="shared" si="17"/>
        <v>0</v>
      </c>
      <c r="X157" s="28"/>
      <c r="Y157" s="27"/>
    </row>
    <row r="158" spans="1:257" ht="11.25" customHeight="1">
      <c r="A158" s="34"/>
      <c r="B158" s="24"/>
      <c r="C158" s="24"/>
      <c r="D158" s="24"/>
      <c r="E158" s="24"/>
      <c r="F158" s="25"/>
      <c r="G158" s="25"/>
      <c r="H158" s="25"/>
      <c r="I158" s="25"/>
      <c r="J158" s="24"/>
      <c r="K158" s="25"/>
      <c r="L158" s="25"/>
      <c r="M158" s="25"/>
      <c r="N158" s="25"/>
      <c r="O158" s="25"/>
      <c r="P158" s="25"/>
      <c r="Q158" s="25"/>
      <c r="R158" s="24"/>
      <c r="S158" s="26">
        <f t="shared" si="16"/>
        <v>0</v>
      </c>
      <c r="T158" s="26">
        <f>COUNTIF($V$4:V158,V158)</f>
        <v>115</v>
      </c>
      <c r="U158" s="26" t="str">
        <f>IF(T158=1,COUNTIF($T$4:T158,1),"")</f>
        <v/>
      </c>
      <c r="V158" s="27" t="str">
        <f t="shared" si="18"/>
        <v/>
      </c>
      <c r="W158" s="27">
        <f t="shared" si="17"/>
        <v>0</v>
      </c>
      <c r="X158" s="28"/>
      <c r="Y158" s="27"/>
    </row>
    <row r="159" spans="1:257" ht="11.25" customHeight="1">
      <c r="A159" s="34"/>
      <c r="B159" s="24"/>
      <c r="C159" s="24"/>
      <c r="D159" s="24"/>
      <c r="E159" s="24"/>
      <c r="F159" s="25"/>
      <c r="G159" s="25"/>
      <c r="H159" s="25"/>
      <c r="I159" s="25"/>
      <c r="J159" s="24"/>
      <c r="K159" s="25"/>
      <c r="L159" s="25"/>
      <c r="M159" s="25"/>
      <c r="N159" s="25"/>
      <c r="O159" s="25"/>
      <c r="P159" s="25"/>
      <c r="Q159" s="25"/>
      <c r="R159" s="24"/>
      <c r="S159" s="26">
        <f t="shared" si="16"/>
        <v>0</v>
      </c>
      <c r="T159" s="26">
        <f>COUNTIF($V$4:V159,V159)</f>
        <v>116</v>
      </c>
      <c r="U159" s="26" t="str">
        <f>IF(T159=1,COUNTIF($T$4:T159,1),"")</f>
        <v/>
      </c>
      <c r="V159" s="27" t="str">
        <f t="shared" si="18"/>
        <v/>
      </c>
      <c r="W159" s="27">
        <f t="shared" si="17"/>
        <v>0</v>
      </c>
      <c r="X159" s="28"/>
      <c r="Y159" s="27"/>
    </row>
    <row r="160" spans="1:257" ht="11.25" customHeight="1">
      <c r="A160" s="34"/>
      <c r="B160" s="24"/>
      <c r="C160" s="24"/>
      <c r="D160" s="24"/>
      <c r="E160" s="24"/>
      <c r="F160" s="25"/>
      <c r="G160" s="25"/>
      <c r="H160" s="25"/>
      <c r="I160" s="25"/>
      <c r="J160" s="24"/>
      <c r="K160" s="25"/>
      <c r="L160" s="25"/>
      <c r="M160" s="25"/>
      <c r="N160" s="25"/>
      <c r="O160" s="25"/>
      <c r="P160" s="25"/>
      <c r="Q160" s="25"/>
      <c r="R160" s="24"/>
      <c r="S160" s="26">
        <f t="shared" si="16"/>
        <v>0</v>
      </c>
      <c r="T160" s="26">
        <f>COUNTIF($V$4:V160,V160)</f>
        <v>117</v>
      </c>
      <c r="U160" s="26" t="str">
        <f>IF(T160=1,COUNTIF($T$4:T160,1),"")</f>
        <v/>
      </c>
      <c r="V160" s="27" t="str">
        <f t="shared" si="18"/>
        <v/>
      </c>
      <c r="W160" s="27">
        <f t="shared" si="17"/>
        <v>0</v>
      </c>
      <c r="X160" s="28"/>
      <c r="Y160" s="27"/>
    </row>
    <row r="161" spans="1:257" ht="11.25" customHeight="1">
      <c r="A161" s="34"/>
      <c r="B161" s="24"/>
      <c r="C161" s="24"/>
      <c r="D161" s="24"/>
      <c r="E161" s="24"/>
      <c r="F161" s="25"/>
      <c r="G161" s="25"/>
      <c r="H161" s="25"/>
      <c r="I161" s="25"/>
      <c r="J161" s="24"/>
      <c r="K161" s="25"/>
      <c r="L161" s="25"/>
      <c r="M161" s="25"/>
      <c r="N161" s="25"/>
      <c r="O161" s="25"/>
      <c r="P161" s="25"/>
      <c r="Q161" s="25"/>
      <c r="R161" s="24"/>
      <c r="S161" s="26">
        <f t="shared" si="16"/>
        <v>0</v>
      </c>
      <c r="T161" s="26">
        <f>COUNTIF($V$4:V161,V161)</f>
        <v>118</v>
      </c>
      <c r="U161" s="26" t="str">
        <f>IF(T161=1,COUNTIF($T$4:T161,1),"")</f>
        <v/>
      </c>
      <c r="V161" s="27" t="str">
        <f t="shared" si="18"/>
        <v/>
      </c>
      <c r="W161" s="27">
        <f t="shared" si="17"/>
        <v>0</v>
      </c>
      <c r="X161" s="28"/>
      <c r="Y161" s="27"/>
    </row>
    <row r="162" spans="1:257" ht="11.25" customHeight="1">
      <c r="A162" s="34"/>
      <c r="B162" s="24"/>
      <c r="C162" s="24"/>
      <c r="D162" s="24"/>
      <c r="E162" s="24"/>
      <c r="F162" s="25"/>
      <c r="G162" s="25"/>
      <c r="H162" s="25"/>
      <c r="I162" s="25"/>
      <c r="J162" s="24"/>
      <c r="K162" s="25"/>
      <c r="L162" s="25"/>
      <c r="M162" s="25"/>
      <c r="N162" s="25"/>
      <c r="O162" s="25"/>
      <c r="P162" s="25"/>
      <c r="Q162" s="25"/>
      <c r="R162" s="24"/>
      <c r="S162" s="26">
        <f t="shared" si="16"/>
        <v>0</v>
      </c>
      <c r="T162" s="26">
        <f>COUNTIF($V$4:V162,V162)</f>
        <v>119</v>
      </c>
      <c r="U162" s="26" t="str">
        <f>IF(T162=1,COUNTIF($T$4:T162,1),"")</f>
        <v/>
      </c>
      <c r="V162" s="27" t="str">
        <f t="shared" si="18"/>
        <v/>
      </c>
      <c r="W162" s="27">
        <f t="shared" si="17"/>
        <v>0</v>
      </c>
      <c r="X162" s="28"/>
      <c r="Y162" s="27"/>
    </row>
    <row r="163" spans="1:257" ht="11.25" customHeight="1">
      <c r="A163" s="34"/>
      <c r="B163" s="24"/>
      <c r="C163" s="24"/>
      <c r="D163" s="24"/>
      <c r="E163" s="24"/>
      <c r="F163" s="25"/>
      <c r="G163" s="25"/>
      <c r="H163" s="25"/>
      <c r="I163" s="25"/>
      <c r="J163" s="24"/>
      <c r="K163" s="25"/>
      <c r="L163" s="25"/>
      <c r="M163" s="25"/>
      <c r="N163" s="25"/>
      <c r="O163" s="25"/>
      <c r="P163" s="25"/>
      <c r="Q163" s="25"/>
      <c r="R163" s="24"/>
      <c r="S163" s="26">
        <f t="shared" si="16"/>
        <v>0</v>
      </c>
      <c r="T163" s="26">
        <f>COUNTIF($V$4:V163,V163)</f>
        <v>120</v>
      </c>
      <c r="U163" s="26" t="str">
        <f>IF(T163=1,COUNTIF($T$4:T163,1),"")</f>
        <v/>
      </c>
      <c r="V163" s="27" t="str">
        <f t="shared" si="18"/>
        <v/>
      </c>
      <c r="W163" s="27">
        <f t="shared" si="17"/>
        <v>0</v>
      </c>
      <c r="X163" s="28"/>
      <c r="Y163" s="27"/>
    </row>
    <row r="164" spans="1:257" ht="11.25" customHeight="1">
      <c r="A164" s="34"/>
      <c r="B164" s="24"/>
      <c r="C164" s="24"/>
      <c r="D164" s="24"/>
      <c r="E164" s="24"/>
      <c r="F164" s="25"/>
      <c r="G164" s="25"/>
      <c r="H164" s="25"/>
      <c r="I164" s="25"/>
      <c r="J164" s="24"/>
      <c r="K164" s="25"/>
      <c r="L164" s="25"/>
      <c r="M164" s="25"/>
      <c r="N164" s="25"/>
      <c r="O164" s="25"/>
      <c r="P164" s="25"/>
      <c r="Q164" s="25"/>
      <c r="R164" s="24"/>
      <c r="S164" s="26">
        <f t="shared" si="16"/>
        <v>0</v>
      </c>
      <c r="T164" s="26">
        <f>COUNTIF($V$4:V164,V164)</f>
        <v>121</v>
      </c>
      <c r="U164" s="26" t="str">
        <f>IF(T164=1,COUNTIF($T$4:T164,1),"")</f>
        <v/>
      </c>
      <c r="V164" s="27" t="str">
        <f t="shared" si="18"/>
        <v/>
      </c>
      <c r="W164" s="27">
        <f t="shared" si="17"/>
        <v>0</v>
      </c>
      <c r="X164" s="28"/>
      <c r="Y164" s="27"/>
    </row>
    <row r="165" spans="1:257" ht="11.25" customHeight="1">
      <c r="A165" s="34"/>
      <c r="B165" s="24"/>
      <c r="C165" s="24"/>
      <c r="D165" s="24"/>
      <c r="E165" s="24"/>
      <c r="F165" s="25"/>
      <c r="G165" s="25"/>
      <c r="H165" s="25"/>
      <c r="I165" s="25"/>
      <c r="J165" s="24"/>
      <c r="K165" s="25"/>
      <c r="L165" s="25"/>
      <c r="M165" s="25"/>
      <c r="N165" s="25"/>
      <c r="O165" s="25"/>
      <c r="P165" s="25"/>
      <c r="Q165" s="25"/>
      <c r="R165" s="24"/>
      <c r="S165" s="26">
        <f t="shared" si="16"/>
        <v>0</v>
      </c>
      <c r="T165" s="26">
        <f>COUNTIF($V$4:V165,V165)</f>
        <v>122</v>
      </c>
      <c r="U165" s="26" t="str">
        <f>IF(T165=1,COUNTIF($T$4:T165,1),"")</f>
        <v/>
      </c>
      <c r="V165" s="27" t="str">
        <f t="shared" si="18"/>
        <v/>
      </c>
      <c r="W165" s="27">
        <f t="shared" si="17"/>
        <v>0</v>
      </c>
      <c r="X165" s="28"/>
      <c r="Y165" s="27"/>
    </row>
    <row r="166" spans="1:257" ht="11.25" customHeight="1">
      <c r="A166" s="34"/>
      <c r="B166" s="24"/>
      <c r="C166" s="24"/>
      <c r="D166" s="24"/>
      <c r="E166" s="24"/>
      <c r="F166" s="25"/>
      <c r="G166" s="25"/>
      <c r="H166" s="25"/>
      <c r="I166" s="25"/>
      <c r="J166" s="24"/>
      <c r="K166" s="25"/>
      <c r="L166" s="25"/>
      <c r="M166" s="25"/>
      <c r="N166" s="25"/>
      <c r="O166" s="25"/>
      <c r="P166" s="25"/>
      <c r="Q166" s="25"/>
      <c r="R166" s="24"/>
      <c r="S166" s="26">
        <f t="shared" si="16"/>
        <v>0</v>
      </c>
      <c r="T166" s="26">
        <f>COUNTIF($V$4:V166,V166)</f>
        <v>123</v>
      </c>
      <c r="U166" s="26" t="str">
        <f>IF(T166=1,COUNTIF($T$4:T166,1),"")</f>
        <v/>
      </c>
      <c r="V166" s="27" t="str">
        <f t="shared" si="18"/>
        <v/>
      </c>
      <c r="W166" s="27">
        <f t="shared" si="17"/>
        <v>0</v>
      </c>
      <c r="X166" s="28"/>
      <c r="Y166" s="27"/>
    </row>
    <row r="167" spans="1:257" s="33" customFormat="1" ht="11.25" customHeight="1">
      <c r="A167" s="34"/>
      <c r="B167" s="24"/>
      <c r="C167" s="24"/>
      <c r="D167" s="24"/>
      <c r="E167" s="24"/>
      <c r="F167" s="25"/>
      <c r="G167" s="25"/>
      <c r="H167" s="25"/>
      <c r="I167" s="25"/>
      <c r="J167" s="24"/>
      <c r="K167" s="25"/>
      <c r="L167" s="25"/>
      <c r="M167" s="25"/>
      <c r="N167" s="25"/>
      <c r="O167" s="25"/>
      <c r="P167" s="25"/>
      <c r="Q167" s="25"/>
      <c r="R167" s="24"/>
      <c r="S167" s="26">
        <f t="shared" si="16"/>
        <v>0</v>
      </c>
      <c r="T167" s="26">
        <f>COUNTIF($V$4:V167,V167)</f>
        <v>124</v>
      </c>
      <c r="U167" s="26" t="str">
        <f>IF(T167=1,COUNTIF($T$4:T167,1),"")</f>
        <v/>
      </c>
      <c r="V167" s="27" t="str">
        <f t="shared" si="18"/>
        <v/>
      </c>
      <c r="W167" s="27">
        <f t="shared" si="17"/>
        <v>0</v>
      </c>
      <c r="X167" s="28"/>
      <c r="Y167" s="27"/>
      <c r="Z167" s="10"/>
      <c r="AA167" s="10"/>
      <c r="AB167" s="10"/>
      <c r="AC167" s="10"/>
      <c r="AD167" s="10"/>
      <c r="AE167" s="10"/>
      <c r="AF167" s="10"/>
      <c r="AG167" s="10"/>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c r="GS167" s="12"/>
      <c r="GT167" s="12"/>
      <c r="GU167" s="12"/>
      <c r="GV167" s="12"/>
      <c r="GW167" s="12"/>
      <c r="GX167" s="12"/>
      <c r="GY167" s="12"/>
      <c r="GZ167" s="12"/>
      <c r="HA167" s="12"/>
      <c r="HB167" s="12"/>
      <c r="HC167" s="12"/>
      <c r="HD167" s="12"/>
      <c r="HE167" s="12"/>
      <c r="HF167" s="12"/>
      <c r="HG167" s="12"/>
      <c r="HH167" s="12"/>
      <c r="HI167" s="12"/>
      <c r="HJ167" s="12"/>
      <c r="HK167" s="12"/>
      <c r="HL167" s="12"/>
      <c r="HM167" s="12"/>
      <c r="HN167" s="12"/>
      <c r="HO167" s="12"/>
      <c r="HP167" s="12"/>
      <c r="HQ167" s="12"/>
      <c r="HR167" s="12"/>
      <c r="HS167" s="12"/>
      <c r="HT167" s="12"/>
      <c r="HU167" s="12"/>
      <c r="HV167" s="12"/>
      <c r="HW167" s="12"/>
      <c r="HX167" s="12"/>
      <c r="HY167" s="12"/>
      <c r="HZ167" s="12"/>
      <c r="IA167" s="12"/>
      <c r="IB167" s="12"/>
      <c r="IC167" s="12"/>
      <c r="ID167" s="12"/>
      <c r="IE167" s="12"/>
      <c r="IF167" s="12"/>
      <c r="IG167" s="12"/>
      <c r="IH167" s="12"/>
      <c r="II167" s="12"/>
      <c r="IJ167" s="12"/>
      <c r="IK167" s="12"/>
      <c r="IL167" s="12"/>
      <c r="IM167" s="12"/>
      <c r="IN167" s="12"/>
      <c r="IO167" s="12"/>
      <c r="IP167" s="12"/>
      <c r="IQ167" s="12"/>
      <c r="IR167" s="12"/>
      <c r="IS167" s="12"/>
      <c r="IT167" s="12"/>
      <c r="IU167" s="12"/>
      <c r="IV167" s="12"/>
      <c r="IW167" s="12"/>
    </row>
    <row r="168" spans="1:257" ht="11.25" customHeight="1">
      <c r="A168" s="34"/>
      <c r="B168" s="24"/>
      <c r="C168" s="24"/>
      <c r="D168" s="24"/>
      <c r="E168" s="24"/>
      <c r="F168" s="25"/>
      <c r="G168" s="25"/>
      <c r="H168" s="25"/>
      <c r="I168" s="25"/>
      <c r="J168" s="24"/>
      <c r="K168" s="25"/>
      <c r="L168" s="25"/>
      <c r="M168" s="25"/>
      <c r="N168" s="25"/>
      <c r="O168" s="25"/>
      <c r="P168" s="25"/>
      <c r="Q168" s="25"/>
      <c r="R168" s="24"/>
      <c r="S168" s="26">
        <f t="shared" si="16"/>
        <v>0</v>
      </c>
      <c r="T168" s="26">
        <f>COUNTIF($V$4:V168,V168)</f>
        <v>125</v>
      </c>
      <c r="U168" s="26" t="str">
        <f>IF(T168=1,COUNTIF($T$4:T168,1),"")</f>
        <v/>
      </c>
      <c r="V168" s="27" t="str">
        <f t="shared" si="18"/>
        <v/>
      </c>
      <c r="W168" s="27">
        <f t="shared" si="17"/>
        <v>0</v>
      </c>
      <c r="X168" s="28"/>
      <c r="Y168" s="27"/>
      <c r="Z168" s="27"/>
      <c r="AA168" s="27"/>
      <c r="AB168" s="27"/>
      <c r="AC168" s="27"/>
      <c r="AD168" s="27"/>
      <c r="AE168" s="27"/>
      <c r="AF168" s="27"/>
      <c r="AG168" s="27"/>
    </row>
    <row r="169" spans="1:257">
      <c r="A169" s="34"/>
      <c r="B169" s="24"/>
      <c r="C169" s="24"/>
      <c r="D169" s="24"/>
      <c r="E169" s="24"/>
      <c r="F169" s="25"/>
      <c r="G169" s="25"/>
      <c r="H169" s="25"/>
      <c r="I169" s="25"/>
      <c r="J169" s="24"/>
      <c r="K169" s="25"/>
      <c r="L169" s="25"/>
      <c r="M169" s="25"/>
      <c r="N169" s="25"/>
      <c r="O169" s="25"/>
      <c r="P169" s="25"/>
      <c r="Q169" s="25"/>
      <c r="R169" s="24"/>
      <c r="S169" s="26">
        <f t="shared" si="16"/>
        <v>0</v>
      </c>
      <c r="T169" s="26">
        <f>COUNTIF($V$4:V169,V169)</f>
        <v>126</v>
      </c>
      <c r="U169" s="26" t="str">
        <f>IF(T169=1,COUNTIF($T$4:T169,1),"")</f>
        <v/>
      </c>
      <c r="V169" s="27" t="str">
        <f t="shared" si="18"/>
        <v/>
      </c>
      <c r="W169" s="27">
        <f t="shared" si="17"/>
        <v>0</v>
      </c>
      <c r="X169" s="28"/>
      <c r="Y169" s="27"/>
    </row>
    <row r="170" spans="1:257">
      <c r="A170" s="34"/>
      <c r="B170" s="24"/>
      <c r="C170" s="24"/>
      <c r="D170" s="24"/>
      <c r="E170" s="24"/>
      <c r="F170" s="25"/>
      <c r="G170" s="25"/>
      <c r="H170" s="25"/>
      <c r="I170" s="25"/>
      <c r="J170" s="24"/>
      <c r="K170" s="25"/>
      <c r="L170" s="25"/>
      <c r="M170" s="25"/>
      <c r="N170" s="25"/>
      <c r="O170" s="25"/>
      <c r="P170" s="25"/>
      <c r="Q170" s="25"/>
      <c r="R170" s="24"/>
      <c r="S170" s="26">
        <f t="shared" si="16"/>
        <v>0</v>
      </c>
      <c r="T170" s="26">
        <f>COUNTIF($V$4:V170,V170)</f>
        <v>127</v>
      </c>
      <c r="U170" s="26" t="str">
        <f>IF(T170=1,COUNTIF($T$4:T170,1),"")</f>
        <v/>
      </c>
      <c r="V170" s="27" t="str">
        <f t="shared" si="18"/>
        <v/>
      </c>
      <c r="W170" s="27">
        <f t="shared" si="17"/>
        <v>0</v>
      </c>
      <c r="X170" s="28"/>
      <c r="Y170" s="27"/>
    </row>
    <row r="171" spans="1:257">
      <c r="A171" s="34"/>
      <c r="B171" s="24"/>
      <c r="C171" s="24"/>
      <c r="D171" s="24"/>
      <c r="E171" s="24"/>
      <c r="F171" s="25"/>
      <c r="G171" s="25"/>
      <c r="H171" s="25"/>
      <c r="I171" s="25"/>
      <c r="J171" s="24"/>
      <c r="K171" s="25"/>
      <c r="L171" s="25"/>
      <c r="M171" s="25"/>
      <c r="N171" s="25"/>
      <c r="O171" s="25"/>
      <c r="P171" s="25"/>
      <c r="Q171" s="25"/>
      <c r="R171" s="24"/>
      <c r="S171" s="26">
        <f t="shared" si="16"/>
        <v>0</v>
      </c>
      <c r="T171" s="26">
        <f>COUNTIF($V$4:V171,V171)</f>
        <v>128</v>
      </c>
      <c r="U171" s="26" t="str">
        <f>IF(T171=1,COUNTIF($T$4:T171,1),"")</f>
        <v/>
      </c>
      <c r="V171" s="27" t="str">
        <f t="shared" si="18"/>
        <v/>
      </c>
      <c r="W171" s="27">
        <f t="shared" si="17"/>
        <v>0</v>
      </c>
      <c r="X171" s="28"/>
      <c r="Y171" s="27"/>
    </row>
    <row r="172" spans="1:257" ht="11.25" customHeight="1">
      <c r="A172" s="34"/>
      <c r="B172" s="24"/>
      <c r="C172" s="24"/>
      <c r="D172" s="24"/>
      <c r="E172" s="24"/>
      <c r="F172" s="25"/>
      <c r="G172" s="25"/>
      <c r="H172" s="25"/>
      <c r="I172" s="25"/>
      <c r="J172" s="24"/>
      <c r="K172" s="25"/>
      <c r="L172" s="25"/>
      <c r="M172" s="25"/>
      <c r="N172" s="25"/>
      <c r="O172" s="25"/>
      <c r="P172" s="25"/>
      <c r="Q172" s="25"/>
      <c r="R172" s="24"/>
      <c r="S172" s="26">
        <f t="shared" si="16"/>
        <v>0</v>
      </c>
      <c r="T172" s="26">
        <f>COUNTIF($V$4:V172,V172)</f>
        <v>129</v>
      </c>
      <c r="U172" s="26" t="str">
        <f>IF(T172=1,COUNTIF($T$4:T172,1),"")</f>
        <v/>
      </c>
      <c r="V172" s="27" t="str">
        <f t="shared" si="18"/>
        <v/>
      </c>
      <c r="W172" s="27">
        <f t="shared" si="17"/>
        <v>0</v>
      </c>
      <c r="X172" s="28"/>
      <c r="Y172" s="27"/>
    </row>
    <row r="173" spans="1:257" ht="11.25" customHeight="1">
      <c r="A173" s="34"/>
      <c r="B173" s="24"/>
      <c r="C173" s="24"/>
      <c r="D173" s="24"/>
      <c r="E173" s="24"/>
      <c r="F173" s="25"/>
      <c r="G173" s="25"/>
      <c r="H173" s="25"/>
      <c r="I173" s="25"/>
      <c r="J173" s="24"/>
      <c r="K173" s="25"/>
      <c r="L173" s="25"/>
      <c r="M173" s="25"/>
      <c r="N173" s="25"/>
      <c r="O173" s="25"/>
      <c r="P173" s="25"/>
      <c r="Q173" s="25"/>
      <c r="R173" s="24"/>
      <c r="S173" s="26">
        <f t="shared" si="16"/>
        <v>0</v>
      </c>
      <c r="T173" s="26">
        <f>COUNTIF($V$4:V173,V173)</f>
        <v>130</v>
      </c>
      <c r="U173" s="26" t="str">
        <f>IF(T173=1,COUNTIF($T$4:T173,1),"")</f>
        <v/>
      </c>
      <c r="V173" s="27" t="str">
        <f t="shared" si="18"/>
        <v/>
      </c>
      <c r="W173" s="27">
        <f t="shared" si="17"/>
        <v>0</v>
      </c>
      <c r="X173" s="28"/>
      <c r="Y173" s="27"/>
    </row>
    <row r="174" spans="1:257" ht="11.25" customHeight="1">
      <c r="A174" s="34"/>
      <c r="B174" s="24"/>
      <c r="C174" s="24"/>
      <c r="D174" s="24"/>
      <c r="E174" s="24"/>
      <c r="F174" s="25"/>
      <c r="G174" s="25"/>
      <c r="H174" s="25"/>
      <c r="I174" s="25"/>
      <c r="J174" s="24"/>
      <c r="K174" s="25"/>
      <c r="L174" s="25"/>
      <c r="M174" s="25"/>
      <c r="N174" s="25"/>
      <c r="O174" s="25"/>
      <c r="P174" s="25"/>
      <c r="Q174" s="25"/>
      <c r="R174" s="24"/>
      <c r="S174" s="26">
        <f t="shared" si="16"/>
        <v>0</v>
      </c>
      <c r="T174" s="26">
        <f>COUNTIF($V$4:V174,V174)</f>
        <v>131</v>
      </c>
      <c r="U174" s="26" t="str">
        <f>IF(T174=1,COUNTIF($T$4:T174,1),"")</f>
        <v/>
      </c>
      <c r="V174" s="27" t="str">
        <f t="shared" si="18"/>
        <v/>
      </c>
      <c r="W174" s="27">
        <f t="shared" si="17"/>
        <v>0</v>
      </c>
      <c r="X174" s="28"/>
      <c r="Y174" s="27"/>
    </row>
    <row r="175" spans="1:257" ht="11.25" customHeight="1">
      <c r="A175" s="34"/>
      <c r="B175" s="24"/>
      <c r="C175" s="24"/>
      <c r="D175" s="24"/>
      <c r="E175" s="24"/>
      <c r="F175" s="25"/>
      <c r="G175" s="25"/>
      <c r="H175" s="25"/>
      <c r="I175" s="25"/>
      <c r="J175" s="24"/>
      <c r="K175" s="25"/>
      <c r="L175" s="25"/>
      <c r="M175" s="25"/>
      <c r="N175" s="25"/>
      <c r="O175" s="25"/>
      <c r="P175" s="25"/>
      <c r="Q175" s="25"/>
      <c r="R175" s="24"/>
      <c r="S175" s="26">
        <f t="shared" si="16"/>
        <v>0</v>
      </c>
      <c r="T175" s="26">
        <f>COUNTIF($V$4:V175,V175)</f>
        <v>132</v>
      </c>
      <c r="U175" s="26" t="str">
        <f>IF(T175=1,COUNTIF($T$4:T175,1),"")</f>
        <v/>
      </c>
      <c r="V175" s="27" t="str">
        <f t="shared" si="18"/>
        <v/>
      </c>
      <c r="W175" s="27">
        <f t="shared" si="17"/>
        <v>0</v>
      </c>
      <c r="X175" s="28"/>
      <c r="Y175" s="27"/>
    </row>
    <row r="176" spans="1:257" ht="11.25" customHeight="1">
      <c r="A176" s="34"/>
      <c r="B176" s="24"/>
      <c r="C176" s="24"/>
      <c r="D176" s="24"/>
      <c r="E176" s="24"/>
      <c r="F176" s="25"/>
      <c r="G176" s="25"/>
      <c r="H176" s="25"/>
      <c r="I176" s="25"/>
      <c r="J176" s="24"/>
      <c r="K176" s="25"/>
      <c r="L176" s="25"/>
      <c r="M176" s="25"/>
      <c r="N176" s="25"/>
      <c r="O176" s="25"/>
      <c r="P176" s="25"/>
      <c r="Q176" s="25"/>
      <c r="R176" s="24"/>
      <c r="S176" s="26">
        <f t="shared" si="16"/>
        <v>0</v>
      </c>
      <c r="T176" s="26">
        <f>COUNTIF($V$4:V176,V176)</f>
        <v>133</v>
      </c>
      <c r="U176" s="26" t="str">
        <f>IF(T176=1,COUNTIF($T$4:T176,1),"")</f>
        <v/>
      </c>
      <c r="V176" s="27" t="str">
        <f t="shared" si="18"/>
        <v/>
      </c>
      <c r="W176" s="27">
        <f t="shared" si="17"/>
        <v>0</v>
      </c>
      <c r="X176" s="28"/>
      <c r="Y176" s="27"/>
    </row>
    <row r="177" spans="1:25" ht="11.25" customHeight="1">
      <c r="A177" s="34"/>
      <c r="B177" s="24"/>
      <c r="C177" s="24"/>
      <c r="D177" s="24"/>
      <c r="E177" s="24"/>
      <c r="F177" s="25"/>
      <c r="G177" s="25"/>
      <c r="H177" s="25"/>
      <c r="I177" s="25"/>
      <c r="J177" s="24"/>
      <c r="K177" s="25"/>
      <c r="L177" s="25"/>
      <c r="M177" s="25"/>
      <c r="N177" s="25"/>
      <c r="O177" s="25"/>
      <c r="P177" s="25"/>
      <c r="Q177" s="25"/>
      <c r="R177" s="24"/>
      <c r="S177" s="26">
        <f t="shared" si="16"/>
        <v>0</v>
      </c>
      <c r="T177" s="26">
        <f>COUNTIF($V$4:V177,V177)</f>
        <v>134</v>
      </c>
      <c r="U177" s="26" t="str">
        <f>IF(T177=1,COUNTIF($T$4:T177,1),"")</f>
        <v/>
      </c>
      <c r="V177" s="27" t="str">
        <f t="shared" si="18"/>
        <v/>
      </c>
      <c r="W177" s="27">
        <f t="shared" si="17"/>
        <v>0</v>
      </c>
      <c r="X177" s="28"/>
      <c r="Y177" s="27"/>
    </row>
    <row r="178" spans="1:25">
      <c r="A178" s="34"/>
      <c r="B178" s="24"/>
      <c r="C178" s="24"/>
      <c r="D178" s="24"/>
      <c r="E178" s="24"/>
      <c r="F178" s="25"/>
      <c r="G178" s="25"/>
      <c r="H178" s="25"/>
      <c r="I178" s="25"/>
      <c r="J178" s="24"/>
      <c r="K178" s="25"/>
      <c r="L178" s="25"/>
      <c r="M178" s="25"/>
      <c r="N178" s="25"/>
      <c r="O178" s="25"/>
      <c r="P178" s="25"/>
      <c r="Q178" s="25"/>
      <c r="R178" s="24"/>
      <c r="S178" s="26">
        <f t="shared" si="16"/>
        <v>0</v>
      </c>
      <c r="T178" s="26">
        <f>COUNTIF($V$4:V178,V178)</f>
        <v>135</v>
      </c>
      <c r="U178" s="26" t="str">
        <f>IF(T178=1,COUNTIF($T$4:T178,1),"")</f>
        <v/>
      </c>
      <c r="V178" s="27" t="str">
        <f t="shared" si="18"/>
        <v/>
      </c>
      <c r="W178" s="27">
        <f t="shared" si="17"/>
        <v>0</v>
      </c>
      <c r="X178" s="28"/>
      <c r="Y178" s="27"/>
    </row>
    <row r="179" spans="1:25" ht="11.25" customHeight="1">
      <c r="A179" s="34"/>
      <c r="B179" s="24"/>
      <c r="C179" s="24"/>
      <c r="D179" s="24"/>
      <c r="E179" s="24"/>
      <c r="F179" s="25"/>
      <c r="G179" s="25"/>
      <c r="H179" s="25"/>
      <c r="I179" s="25"/>
      <c r="J179" s="24"/>
      <c r="K179" s="25"/>
      <c r="L179" s="25"/>
      <c r="M179" s="25"/>
      <c r="N179" s="25"/>
      <c r="O179" s="25"/>
      <c r="P179" s="25"/>
      <c r="Q179" s="25"/>
      <c r="R179" s="24"/>
      <c r="S179" s="26">
        <f t="shared" si="16"/>
        <v>0</v>
      </c>
      <c r="T179" s="26">
        <f>COUNTIF($V$4:V179,V179)</f>
        <v>136</v>
      </c>
      <c r="U179" s="26" t="str">
        <f>IF(T179=1,COUNTIF($T$4:T179,1),"")</f>
        <v/>
      </c>
      <c r="V179" s="27" t="str">
        <f t="shared" si="18"/>
        <v/>
      </c>
      <c r="W179" s="27">
        <f t="shared" si="17"/>
        <v>0</v>
      </c>
      <c r="X179" s="28"/>
      <c r="Y179" s="27"/>
    </row>
    <row r="180" spans="1:25" ht="11.25" customHeight="1">
      <c r="A180" s="34"/>
      <c r="B180" s="24"/>
      <c r="C180" s="24"/>
      <c r="D180" s="24"/>
      <c r="E180" s="24"/>
      <c r="F180" s="25"/>
      <c r="G180" s="25"/>
      <c r="H180" s="25"/>
      <c r="I180" s="25"/>
      <c r="J180" s="24"/>
      <c r="K180" s="25"/>
      <c r="L180" s="25"/>
      <c r="M180" s="25"/>
      <c r="N180" s="25"/>
      <c r="O180" s="25"/>
      <c r="P180" s="25"/>
      <c r="Q180" s="25"/>
      <c r="R180" s="24"/>
      <c r="S180" s="26">
        <f t="shared" si="16"/>
        <v>0</v>
      </c>
      <c r="T180" s="26">
        <f>COUNTIF($V$4:V180,V180)</f>
        <v>137</v>
      </c>
      <c r="U180" s="26" t="str">
        <f>IF(T180=1,COUNTIF($T$4:T180,1),"")</f>
        <v/>
      </c>
      <c r="V180" s="27" t="str">
        <f t="shared" si="18"/>
        <v/>
      </c>
      <c r="W180" s="27">
        <f t="shared" si="17"/>
        <v>0</v>
      </c>
      <c r="X180" s="28"/>
      <c r="Y180" s="27"/>
    </row>
    <row r="181" spans="1:25" ht="11.25" customHeight="1">
      <c r="A181" s="34"/>
      <c r="B181" s="24"/>
      <c r="C181" s="24"/>
      <c r="D181" s="24"/>
      <c r="E181" s="24"/>
      <c r="F181" s="25"/>
      <c r="G181" s="25"/>
      <c r="H181" s="25"/>
      <c r="I181" s="25"/>
      <c r="J181" s="24"/>
      <c r="K181" s="25"/>
      <c r="L181" s="25"/>
      <c r="M181" s="25"/>
      <c r="N181" s="25"/>
      <c r="O181" s="25"/>
      <c r="P181" s="25"/>
      <c r="Q181" s="25"/>
      <c r="R181" s="24"/>
      <c r="S181" s="26">
        <f t="shared" si="16"/>
        <v>0</v>
      </c>
      <c r="T181" s="26">
        <f>COUNTIF($V$4:V181,V181)</f>
        <v>138</v>
      </c>
      <c r="U181" s="26" t="str">
        <f>IF(T181=1,COUNTIF($T$4:T181,1),"")</f>
        <v/>
      </c>
      <c r="V181" s="27" t="str">
        <f t="shared" si="18"/>
        <v/>
      </c>
      <c r="W181" s="27">
        <f t="shared" si="17"/>
        <v>0</v>
      </c>
      <c r="X181" s="28"/>
      <c r="Y181" s="27"/>
    </row>
    <row r="182" spans="1:25" ht="11.25" customHeight="1">
      <c r="A182" s="34"/>
      <c r="B182" s="24"/>
      <c r="C182" s="24"/>
      <c r="D182" s="24"/>
      <c r="E182" s="24"/>
      <c r="F182" s="25"/>
      <c r="G182" s="25"/>
      <c r="H182" s="25"/>
      <c r="I182" s="25"/>
      <c r="J182" s="24"/>
      <c r="K182" s="25"/>
      <c r="L182" s="25"/>
      <c r="M182" s="25"/>
      <c r="N182" s="25"/>
      <c r="O182" s="25"/>
      <c r="P182" s="25"/>
      <c r="Q182" s="25"/>
      <c r="R182" s="24"/>
      <c r="S182" s="26">
        <f t="shared" si="16"/>
        <v>0</v>
      </c>
      <c r="T182" s="26">
        <f>COUNTIF($V$4:V182,V182)</f>
        <v>139</v>
      </c>
      <c r="U182" s="26" t="str">
        <f>IF(T182=1,COUNTIF($T$4:T182,1),"")</f>
        <v/>
      </c>
      <c r="V182" s="27" t="str">
        <f t="shared" si="18"/>
        <v/>
      </c>
      <c r="W182" s="27">
        <f t="shared" si="17"/>
        <v>0</v>
      </c>
      <c r="X182" s="28"/>
      <c r="Y182" s="27"/>
    </row>
    <row r="183" spans="1:25" ht="11.25" customHeight="1">
      <c r="A183" s="34"/>
      <c r="B183" s="24"/>
      <c r="C183" s="24"/>
      <c r="D183" s="24"/>
      <c r="E183" s="24"/>
      <c r="F183" s="25"/>
      <c r="G183" s="25"/>
      <c r="H183" s="25"/>
      <c r="I183" s="25"/>
      <c r="J183" s="24"/>
      <c r="K183" s="25"/>
      <c r="L183" s="25"/>
      <c r="M183" s="25"/>
      <c r="N183" s="25"/>
      <c r="O183" s="25"/>
      <c r="P183" s="25"/>
      <c r="Q183" s="25"/>
      <c r="R183" s="24"/>
      <c r="S183" s="26">
        <f t="shared" si="16"/>
        <v>0</v>
      </c>
      <c r="T183" s="26">
        <f>COUNTIF($V$4:V183,V183)</f>
        <v>140</v>
      </c>
      <c r="U183" s="26" t="str">
        <f>IF(T183=1,COUNTIF($T$4:T183,1),"")</f>
        <v/>
      </c>
      <c r="V183" s="27" t="str">
        <f t="shared" si="18"/>
        <v/>
      </c>
      <c r="W183" s="27">
        <f t="shared" si="17"/>
        <v>0</v>
      </c>
      <c r="X183" s="28"/>
      <c r="Y183" s="27"/>
    </row>
    <row r="184" spans="1:25" ht="11.25" customHeight="1">
      <c r="A184" s="34"/>
      <c r="B184" s="24"/>
      <c r="C184" s="24"/>
      <c r="D184" s="24"/>
      <c r="E184" s="24"/>
      <c r="F184" s="25"/>
      <c r="G184" s="25"/>
      <c r="H184" s="25"/>
      <c r="I184" s="25"/>
      <c r="J184" s="24"/>
      <c r="K184" s="25"/>
      <c r="L184" s="25"/>
      <c r="M184" s="25"/>
      <c r="N184" s="25"/>
      <c r="O184" s="25"/>
      <c r="P184" s="25"/>
      <c r="Q184" s="25"/>
      <c r="R184" s="24"/>
      <c r="S184" s="26">
        <f t="shared" si="16"/>
        <v>0</v>
      </c>
      <c r="T184" s="26">
        <f>COUNTIF($V$4:V184,V184)</f>
        <v>141</v>
      </c>
      <c r="U184" s="26" t="str">
        <f>IF(T184=1,COUNTIF($T$4:T184,1),"")</f>
        <v/>
      </c>
      <c r="V184" s="27" t="str">
        <f t="shared" si="18"/>
        <v/>
      </c>
      <c r="W184" s="27">
        <f t="shared" si="17"/>
        <v>0</v>
      </c>
      <c r="X184" s="28"/>
      <c r="Y184" s="27"/>
    </row>
    <row r="185" spans="1:25" ht="11.25" customHeight="1">
      <c r="A185" s="34"/>
      <c r="B185" s="24"/>
      <c r="C185" s="24"/>
      <c r="D185" s="24"/>
      <c r="E185" s="24"/>
      <c r="F185" s="25"/>
      <c r="G185" s="25"/>
      <c r="H185" s="25"/>
      <c r="I185" s="25"/>
      <c r="J185" s="24"/>
      <c r="K185" s="25"/>
      <c r="L185" s="25"/>
      <c r="M185" s="25"/>
      <c r="N185" s="25"/>
      <c r="O185" s="25"/>
      <c r="P185" s="25"/>
      <c r="Q185" s="25"/>
      <c r="R185" s="24"/>
      <c r="S185" s="26">
        <f t="shared" si="16"/>
        <v>0</v>
      </c>
      <c r="T185" s="26">
        <f>COUNTIF($V$4:V185,V185)</f>
        <v>142</v>
      </c>
      <c r="U185" s="26" t="str">
        <f>IF(T185=1,COUNTIF($T$4:T185,1),"")</f>
        <v/>
      </c>
      <c r="V185" s="27" t="str">
        <f t="shared" si="18"/>
        <v/>
      </c>
      <c r="W185" s="27">
        <f t="shared" si="17"/>
        <v>0</v>
      </c>
      <c r="X185" s="28"/>
      <c r="Y185" s="27"/>
    </row>
    <row r="186" spans="1:25" ht="11.25" customHeight="1">
      <c r="A186" s="34"/>
      <c r="B186" s="24"/>
      <c r="C186" s="24"/>
      <c r="D186" s="24"/>
      <c r="E186" s="24"/>
      <c r="F186" s="25"/>
      <c r="G186" s="25"/>
      <c r="H186" s="25"/>
      <c r="I186" s="25"/>
      <c r="J186" s="24"/>
      <c r="K186" s="25"/>
      <c r="L186" s="25"/>
      <c r="M186" s="25"/>
      <c r="N186" s="25"/>
      <c r="O186" s="25"/>
      <c r="P186" s="25"/>
      <c r="Q186" s="25"/>
      <c r="R186" s="24"/>
      <c r="S186" s="26">
        <f t="shared" si="16"/>
        <v>0</v>
      </c>
      <c r="T186" s="26">
        <f>COUNTIF($V$4:V186,V186)</f>
        <v>143</v>
      </c>
      <c r="U186" s="26" t="str">
        <f>IF(T186=1,COUNTIF($T$4:T186,1),"")</f>
        <v/>
      </c>
      <c r="V186" s="27" t="str">
        <f t="shared" si="18"/>
        <v/>
      </c>
      <c r="W186" s="27">
        <f t="shared" si="17"/>
        <v>0</v>
      </c>
      <c r="X186" s="28"/>
      <c r="Y186" s="27"/>
    </row>
    <row r="187" spans="1:25" ht="11.25" customHeight="1">
      <c r="A187" s="34"/>
      <c r="B187" s="24"/>
      <c r="C187" s="24"/>
      <c r="D187" s="24"/>
      <c r="E187" s="24"/>
      <c r="F187" s="25"/>
      <c r="G187" s="25"/>
      <c r="H187" s="25"/>
      <c r="I187" s="25"/>
      <c r="J187" s="24"/>
      <c r="K187" s="25"/>
      <c r="L187" s="25"/>
      <c r="M187" s="25"/>
      <c r="N187" s="25"/>
      <c r="O187" s="25"/>
      <c r="P187" s="25"/>
      <c r="Q187" s="25"/>
      <c r="R187" s="24"/>
      <c r="S187" s="26">
        <f t="shared" si="16"/>
        <v>0</v>
      </c>
      <c r="T187" s="26">
        <f>COUNTIF($V$4:V187,V187)</f>
        <v>144</v>
      </c>
      <c r="U187" s="26" t="str">
        <f>IF(T187=1,COUNTIF($T$4:T187,1),"")</f>
        <v/>
      </c>
      <c r="V187" s="27" t="str">
        <f t="shared" si="18"/>
        <v/>
      </c>
      <c r="W187" s="27">
        <f t="shared" si="17"/>
        <v>0</v>
      </c>
      <c r="X187" s="28"/>
      <c r="Y187" s="27"/>
    </row>
    <row r="188" spans="1:25" ht="11.25" customHeight="1">
      <c r="A188" s="34"/>
      <c r="B188" s="24"/>
      <c r="C188" s="24"/>
      <c r="D188" s="24"/>
      <c r="E188" s="24"/>
      <c r="F188" s="25"/>
      <c r="G188" s="25"/>
      <c r="H188" s="25"/>
      <c r="I188" s="25"/>
      <c r="J188" s="24"/>
      <c r="K188" s="25"/>
      <c r="L188" s="25"/>
      <c r="M188" s="25"/>
      <c r="N188" s="25"/>
      <c r="O188" s="25"/>
      <c r="P188" s="25"/>
      <c r="Q188" s="25"/>
      <c r="R188" s="24"/>
      <c r="S188" s="26">
        <f t="shared" si="16"/>
        <v>0</v>
      </c>
      <c r="T188" s="26">
        <f>COUNTIF($V$4:V188,V188)</f>
        <v>145</v>
      </c>
      <c r="U188" s="26" t="str">
        <f>IF(T188=1,COUNTIF($T$4:T188,1),"")</f>
        <v/>
      </c>
      <c r="V188" s="27" t="str">
        <f t="shared" si="18"/>
        <v/>
      </c>
      <c r="W188" s="27">
        <f t="shared" si="17"/>
        <v>0</v>
      </c>
      <c r="X188" s="28"/>
      <c r="Y188" s="27"/>
    </row>
    <row r="189" spans="1:25" ht="11.25" customHeight="1">
      <c r="A189" s="34"/>
      <c r="B189" s="24"/>
      <c r="C189" s="24"/>
      <c r="D189" s="24"/>
      <c r="E189" s="24"/>
      <c r="F189" s="25"/>
      <c r="G189" s="25"/>
      <c r="H189" s="25"/>
      <c r="I189" s="25"/>
      <c r="J189" s="24"/>
      <c r="K189" s="25"/>
      <c r="L189" s="25"/>
      <c r="M189" s="25"/>
      <c r="N189" s="25"/>
      <c r="O189" s="25"/>
      <c r="P189" s="25"/>
      <c r="Q189" s="25"/>
      <c r="R189" s="24"/>
      <c r="S189" s="26">
        <f t="shared" si="16"/>
        <v>0</v>
      </c>
      <c r="T189" s="26">
        <f>COUNTIF($V$4:V189,V189)</f>
        <v>146</v>
      </c>
      <c r="U189" s="26" t="str">
        <f>IF(T189=1,COUNTIF($T$4:T189,1),"")</f>
        <v/>
      </c>
      <c r="V189" s="27" t="str">
        <f t="shared" si="18"/>
        <v/>
      </c>
      <c r="W189" s="27">
        <f t="shared" si="17"/>
        <v>0</v>
      </c>
      <c r="X189" s="28"/>
      <c r="Y189" s="27"/>
    </row>
    <row r="190" spans="1:25" ht="11.25" customHeight="1">
      <c r="A190" s="34"/>
      <c r="B190" s="24"/>
      <c r="C190" s="24"/>
      <c r="D190" s="24"/>
      <c r="E190" s="24"/>
      <c r="F190" s="25"/>
      <c r="G190" s="25"/>
      <c r="H190" s="25"/>
      <c r="I190" s="25"/>
      <c r="J190" s="24"/>
      <c r="K190" s="25"/>
      <c r="L190" s="25"/>
      <c r="M190" s="25"/>
      <c r="N190" s="25"/>
      <c r="O190" s="25"/>
      <c r="P190" s="25"/>
      <c r="Q190" s="25"/>
      <c r="R190" s="24"/>
      <c r="S190" s="26">
        <f t="shared" si="16"/>
        <v>0</v>
      </c>
      <c r="T190" s="26">
        <f>COUNTIF($V$4:V190,V190)</f>
        <v>147</v>
      </c>
      <c r="U190" s="26" t="str">
        <f>IF(T190=1,COUNTIF($T$4:T190,1),"")</f>
        <v/>
      </c>
      <c r="V190" s="27" t="str">
        <f t="shared" si="18"/>
        <v/>
      </c>
      <c r="W190" s="27">
        <f t="shared" si="17"/>
        <v>0</v>
      </c>
      <c r="X190" s="28"/>
      <c r="Y190" s="27"/>
    </row>
    <row r="191" spans="1:25" ht="11.25" customHeight="1">
      <c r="A191" s="34"/>
      <c r="B191" s="24"/>
      <c r="C191" s="24"/>
      <c r="D191" s="24"/>
      <c r="E191" s="24"/>
      <c r="F191" s="25"/>
      <c r="G191" s="25"/>
      <c r="H191" s="25"/>
      <c r="I191" s="25"/>
      <c r="J191" s="24"/>
      <c r="K191" s="25"/>
      <c r="L191" s="25"/>
      <c r="M191" s="25"/>
      <c r="N191" s="25"/>
      <c r="O191" s="25"/>
      <c r="P191" s="25"/>
      <c r="Q191" s="25"/>
      <c r="R191" s="24"/>
      <c r="S191" s="26">
        <f t="shared" si="16"/>
        <v>0</v>
      </c>
      <c r="T191" s="26">
        <f>COUNTIF($V$4:V191,V191)</f>
        <v>148</v>
      </c>
      <c r="U191" s="26" t="str">
        <f>IF(T191=1,COUNTIF($T$4:T191,1),"")</f>
        <v/>
      </c>
      <c r="V191" s="27" t="str">
        <f t="shared" si="18"/>
        <v/>
      </c>
      <c r="W191" s="27">
        <f t="shared" si="17"/>
        <v>0</v>
      </c>
      <c r="X191" s="28"/>
      <c r="Y191" s="27"/>
    </row>
    <row r="192" spans="1:25" ht="11.25" customHeight="1">
      <c r="A192" s="34"/>
      <c r="B192" s="24"/>
      <c r="C192" s="24"/>
      <c r="D192" s="24"/>
      <c r="E192" s="24"/>
      <c r="F192" s="25"/>
      <c r="G192" s="25"/>
      <c r="H192" s="25"/>
      <c r="I192" s="25"/>
      <c r="J192" s="24"/>
      <c r="K192" s="25"/>
      <c r="L192" s="25"/>
      <c r="M192" s="25"/>
      <c r="N192" s="25"/>
      <c r="O192" s="25"/>
      <c r="P192" s="25"/>
      <c r="Q192" s="25"/>
      <c r="R192" s="24"/>
      <c r="S192" s="26">
        <f t="shared" si="16"/>
        <v>0</v>
      </c>
      <c r="T192" s="26">
        <f>COUNTIF($V$4:V192,V192)</f>
        <v>149</v>
      </c>
      <c r="U192" s="26" t="str">
        <f>IF(T192=1,COUNTIF($T$4:T192,1),"")</f>
        <v/>
      </c>
      <c r="V192" s="27" t="str">
        <f t="shared" si="18"/>
        <v/>
      </c>
      <c r="W192" s="27">
        <f t="shared" si="17"/>
        <v>0</v>
      </c>
      <c r="X192" s="28"/>
      <c r="Y192" s="27"/>
    </row>
    <row r="193" spans="1:257" ht="11.25" customHeight="1">
      <c r="A193" s="34"/>
      <c r="B193" s="24"/>
      <c r="C193" s="24"/>
      <c r="D193" s="24"/>
      <c r="E193" s="24"/>
      <c r="F193" s="25"/>
      <c r="G193" s="25"/>
      <c r="H193" s="25"/>
      <c r="I193" s="25"/>
      <c r="J193" s="24"/>
      <c r="K193" s="25"/>
      <c r="L193" s="25"/>
      <c r="M193" s="25"/>
      <c r="N193" s="25"/>
      <c r="O193" s="25"/>
      <c r="P193" s="25"/>
      <c r="Q193" s="25"/>
      <c r="R193" s="24"/>
      <c r="S193" s="26">
        <f t="shared" si="16"/>
        <v>0</v>
      </c>
      <c r="T193" s="26">
        <f>COUNTIF($V$4:V193,V193)</f>
        <v>150</v>
      </c>
      <c r="U193" s="26" t="str">
        <f>IF(T193=1,COUNTIF($T$4:T193,1),"")</f>
        <v/>
      </c>
      <c r="V193" s="27" t="str">
        <f t="shared" si="18"/>
        <v/>
      </c>
      <c r="W193" s="27">
        <f t="shared" si="17"/>
        <v>0</v>
      </c>
      <c r="X193" s="28"/>
      <c r="Y193" s="27"/>
    </row>
    <row r="194" spans="1:257" ht="11.25" customHeight="1">
      <c r="A194" s="34"/>
      <c r="B194" s="24"/>
      <c r="C194" s="24"/>
      <c r="D194" s="24"/>
      <c r="E194" s="24"/>
      <c r="F194" s="25"/>
      <c r="G194" s="25"/>
      <c r="H194" s="25"/>
      <c r="I194" s="25"/>
      <c r="J194" s="24"/>
      <c r="K194" s="25"/>
      <c r="L194" s="25"/>
      <c r="M194" s="25"/>
      <c r="N194" s="25"/>
      <c r="O194" s="25"/>
      <c r="P194" s="25"/>
      <c r="Q194" s="25"/>
      <c r="R194" s="24"/>
      <c r="S194" s="26">
        <f t="shared" si="16"/>
        <v>0</v>
      </c>
      <c r="T194" s="26">
        <f>COUNTIF($V$4:V194,V194)</f>
        <v>151</v>
      </c>
      <c r="U194" s="26" t="str">
        <f>IF(T194=1,COUNTIF($T$4:T194,1),"")</f>
        <v/>
      </c>
      <c r="V194" s="27" t="str">
        <f t="shared" si="18"/>
        <v/>
      </c>
      <c r="W194" s="27">
        <f t="shared" si="17"/>
        <v>0</v>
      </c>
      <c r="X194" s="28"/>
      <c r="Y194" s="27"/>
    </row>
    <row r="195" spans="1:257" ht="11.25" customHeight="1">
      <c r="A195" s="34"/>
      <c r="B195" s="24"/>
      <c r="C195" s="24"/>
      <c r="D195" s="24"/>
      <c r="E195" s="24"/>
      <c r="F195" s="25"/>
      <c r="G195" s="25"/>
      <c r="H195" s="25"/>
      <c r="I195" s="25"/>
      <c r="J195" s="24"/>
      <c r="K195" s="25"/>
      <c r="L195" s="25"/>
      <c r="M195" s="25"/>
      <c r="N195" s="25"/>
      <c r="O195" s="25"/>
      <c r="P195" s="25"/>
      <c r="Q195" s="25"/>
      <c r="R195" s="24"/>
      <c r="S195" s="26">
        <f t="shared" si="16"/>
        <v>0</v>
      </c>
      <c r="T195" s="26">
        <f>COUNTIF($V$4:V195,V195)</f>
        <v>152</v>
      </c>
      <c r="U195" s="26" t="str">
        <f>IF(T195=1,COUNTIF($T$4:T195,1),"")</f>
        <v/>
      </c>
      <c r="V195" s="27" t="str">
        <f t="shared" si="18"/>
        <v/>
      </c>
      <c r="W195" s="27">
        <f t="shared" si="17"/>
        <v>0</v>
      </c>
      <c r="X195" s="28"/>
      <c r="Y195" s="27"/>
    </row>
    <row r="196" spans="1:257" ht="11.25" customHeight="1">
      <c r="A196" s="34"/>
      <c r="B196" s="24"/>
      <c r="C196" s="24"/>
      <c r="D196" s="24"/>
      <c r="E196" s="24"/>
      <c r="F196" s="25"/>
      <c r="G196" s="25"/>
      <c r="H196" s="25"/>
      <c r="I196" s="25"/>
      <c r="J196" s="24"/>
      <c r="K196" s="25"/>
      <c r="L196" s="25"/>
      <c r="M196" s="25"/>
      <c r="N196" s="25"/>
      <c r="O196" s="25"/>
      <c r="P196" s="25"/>
      <c r="Q196" s="25"/>
      <c r="R196" s="24"/>
      <c r="S196" s="26">
        <f t="shared" ref="S196:S259" si="19">A196</f>
        <v>0</v>
      </c>
      <c r="T196" s="26">
        <f>COUNTIF($V$4:V196,V196)</f>
        <v>153</v>
      </c>
      <c r="U196" s="26" t="str">
        <f>IF(T196=1,COUNTIF($T$4:T196,1),"")</f>
        <v/>
      </c>
      <c r="V196" s="27" t="str">
        <f t="shared" si="18"/>
        <v/>
      </c>
      <c r="W196" s="27">
        <f t="shared" ref="W196:W259" si="20">$F196</f>
        <v>0</v>
      </c>
      <c r="X196" s="28"/>
      <c r="Y196" s="27"/>
    </row>
    <row r="197" spans="1:257" ht="11.25" customHeight="1">
      <c r="A197" s="34"/>
      <c r="B197" s="24"/>
      <c r="C197" s="24"/>
      <c r="D197" s="24"/>
      <c r="E197" s="24"/>
      <c r="F197" s="25"/>
      <c r="G197" s="25"/>
      <c r="H197" s="25"/>
      <c r="I197" s="25"/>
      <c r="J197" s="24"/>
      <c r="K197" s="25"/>
      <c r="L197" s="25"/>
      <c r="M197" s="25"/>
      <c r="N197" s="25"/>
      <c r="O197" s="25"/>
      <c r="P197" s="25"/>
      <c r="Q197" s="25"/>
      <c r="R197" s="24"/>
      <c r="S197" s="26">
        <f t="shared" si="19"/>
        <v>0</v>
      </c>
      <c r="T197" s="26">
        <f>COUNTIF($V$4:V197,V197)</f>
        <v>154</v>
      </c>
      <c r="U197" s="26" t="str">
        <f>IF(T197=1,COUNTIF($T$4:T197,1),"")</f>
        <v/>
      </c>
      <c r="V197" s="27" t="str">
        <f t="shared" ref="V197:V260" si="21">$E197&amp;$C197</f>
        <v/>
      </c>
      <c r="W197" s="27">
        <f t="shared" si="20"/>
        <v>0</v>
      </c>
      <c r="X197" s="28"/>
      <c r="Y197" s="27"/>
    </row>
    <row r="198" spans="1:257" s="33" customFormat="1" ht="11.25" customHeight="1">
      <c r="A198" s="34"/>
      <c r="B198" s="24"/>
      <c r="C198" s="24"/>
      <c r="D198" s="24"/>
      <c r="E198" s="24"/>
      <c r="F198" s="25"/>
      <c r="G198" s="25"/>
      <c r="H198" s="25"/>
      <c r="I198" s="25"/>
      <c r="J198" s="24"/>
      <c r="K198" s="25"/>
      <c r="L198" s="25"/>
      <c r="M198" s="25"/>
      <c r="N198" s="25"/>
      <c r="O198" s="25"/>
      <c r="P198" s="25"/>
      <c r="Q198" s="25"/>
      <c r="R198" s="24"/>
      <c r="S198" s="26">
        <f t="shared" si="19"/>
        <v>0</v>
      </c>
      <c r="T198" s="26">
        <f>COUNTIF($V$4:V198,V198)</f>
        <v>155</v>
      </c>
      <c r="U198" s="26" t="str">
        <f>IF(T198=1,COUNTIF($T$4:T198,1),"")</f>
        <v/>
      </c>
      <c r="V198" s="27" t="str">
        <f t="shared" si="21"/>
        <v/>
      </c>
      <c r="W198" s="27">
        <f t="shared" si="20"/>
        <v>0</v>
      </c>
      <c r="X198" s="28"/>
      <c r="Y198" s="27"/>
      <c r="Z198" s="10"/>
      <c r="AA198" s="10"/>
      <c r="AB198" s="10"/>
      <c r="AC198" s="10"/>
      <c r="AD198" s="10"/>
      <c r="AE198" s="10"/>
      <c r="AF198" s="10"/>
      <c r="AG198" s="10"/>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c r="GS198" s="12"/>
      <c r="GT198" s="12"/>
      <c r="GU198" s="12"/>
      <c r="GV198" s="12"/>
      <c r="GW198" s="12"/>
      <c r="GX198" s="12"/>
      <c r="GY198" s="12"/>
      <c r="GZ198" s="12"/>
      <c r="HA198" s="12"/>
      <c r="HB198" s="12"/>
      <c r="HC198" s="12"/>
      <c r="HD198" s="12"/>
      <c r="HE198" s="12"/>
      <c r="HF198" s="12"/>
      <c r="HG198" s="12"/>
      <c r="HH198" s="12"/>
      <c r="HI198" s="12"/>
      <c r="HJ198" s="12"/>
      <c r="HK198" s="12"/>
      <c r="HL198" s="12"/>
      <c r="HM198" s="12"/>
      <c r="HN198" s="12"/>
      <c r="HO198" s="12"/>
      <c r="HP198" s="12"/>
      <c r="HQ198" s="12"/>
      <c r="HR198" s="12"/>
      <c r="HS198" s="12"/>
      <c r="HT198" s="12"/>
      <c r="HU198" s="12"/>
      <c r="HV198" s="12"/>
      <c r="HW198" s="12"/>
      <c r="HX198" s="12"/>
      <c r="HY198" s="12"/>
      <c r="HZ198" s="12"/>
      <c r="IA198" s="12"/>
      <c r="IB198" s="12"/>
      <c r="IC198" s="12"/>
      <c r="ID198" s="12"/>
      <c r="IE198" s="12"/>
      <c r="IF198" s="12"/>
      <c r="IG198" s="12"/>
      <c r="IH198" s="12"/>
      <c r="II198" s="12"/>
      <c r="IJ198" s="12"/>
      <c r="IK198" s="12"/>
      <c r="IL198" s="12"/>
      <c r="IM198" s="12"/>
      <c r="IN198" s="12"/>
      <c r="IO198" s="12"/>
      <c r="IP198" s="12"/>
      <c r="IQ198" s="12"/>
      <c r="IR198" s="12"/>
      <c r="IS198" s="12"/>
      <c r="IT198" s="12"/>
      <c r="IU198" s="12"/>
      <c r="IV198" s="12"/>
      <c r="IW198" s="12"/>
    </row>
    <row r="199" spans="1:257" ht="11.25" customHeight="1">
      <c r="A199" s="34"/>
      <c r="B199" s="24"/>
      <c r="C199" s="24"/>
      <c r="D199" s="24"/>
      <c r="E199" s="24"/>
      <c r="F199" s="25"/>
      <c r="G199" s="25"/>
      <c r="H199" s="25"/>
      <c r="I199" s="25"/>
      <c r="J199" s="24"/>
      <c r="K199" s="25"/>
      <c r="L199" s="25"/>
      <c r="M199" s="25"/>
      <c r="N199" s="25"/>
      <c r="O199" s="25"/>
      <c r="P199" s="25"/>
      <c r="Q199" s="25"/>
      <c r="R199" s="24"/>
      <c r="S199" s="26">
        <f t="shared" si="19"/>
        <v>0</v>
      </c>
      <c r="T199" s="26">
        <f>COUNTIF($V$4:V199,V199)</f>
        <v>156</v>
      </c>
      <c r="U199" s="26" t="str">
        <f>IF(T199=1,COUNTIF($T$4:T199,1),"")</f>
        <v/>
      </c>
      <c r="V199" s="27" t="str">
        <f t="shared" si="21"/>
        <v/>
      </c>
      <c r="W199" s="27">
        <f t="shared" si="20"/>
        <v>0</v>
      </c>
      <c r="X199" s="28"/>
      <c r="Y199" s="27"/>
      <c r="Z199" s="27"/>
      <c r="AA199" s="27"/>
      <c r="AB199" s="27"/>
      <c r="AC199" s="27"/>
      <c r="AD199" s="27"/>
      <c r="AE199" s="27"/>
      <c r="AF199" s="27"/>
      <c r="AG199" s="27"/>
    </row>
    <row r="200" spans="1:257" ht="11.25" customHeight="1">
      <c r="A200" s="34"/>
      <c r="B200" s="24"/>
      <c r="C200" s="24"/>
      <c r="D200" s="24"/>
      <c r="E200" s="24"/>
      <c r="F200" s="25"/>
      <c r="G200" s="25"/>
      <c r="H200" s="25"/>
      <c r="I200" s="25"/>
      <c r="J200" s="24"/>
      <c r="K200" s="25"/>
      <c r="L200" s="25"/>
      <c r="M200" s="25"/>
      <c r="N200" s="25"/>
      <c r="O200" s="25"/>
      <c r="P200" s="25"/>
      <c r="Q200" s="25"/>
      <c r="R200" s="24"/>
      <c r="S200" s="26">
        <f t="shared" si="19"/>
        <v>0</v>
      </c>
      <c r="T200" s="26">
        <f>COUNTIF($V$4:V200,V200)</f>
        <v>157</v>
      </c>
      <c r="U200" s="26" t="str">
        <f>IF(T200=1,COUNTIF($T$4:T200,1),"")</f>
        <v/>
      </c>
      <c r="V200" s="27" t="str">
        <f t="shared" si="21"/>
        <v/>
      </c>
      <c r="W200" s="27">
        <f t="shared" si="20"/>
        <v>0</v>
      </c>
      <c r="X200" s="28"/>
      <c r="Y200" s="27"/>
    </row>
    <row r="201" spans="1:257" ht="11.25" customHeight="1">
      <c r="A201" s="34"/>
      <c r="B201" s="24"/>
      <c r="C201" s="24"/>
      <c r="D201" s="24"/>
      <c r="E201" s="24"/>
      <c r="F201" s="25"/>
      <c r="G201" s="25"/>
      <c r="H201" s="25"/>
      <c r="I201" s="25"/>
      <c r="J201" s="24"/>
      <c r="K201" s="25"/>
      <c r="L201" s="25"/>
      <c r="M201" s="25"/>
      <c r="N201" s="25"/>
      <c r="O201" s="25"/>
      <c r="P201" s="25"/>
      <c r="Q201" s="25"/>
      <c r="R201" s="24"/>
      <c r="S201" s="26">
        <f t="shared" si="19"/>
        <v>0</v>
      </c>
      <c r="T201" s="26">
        <f>COUNTIF($V$4:V201,V201)</f>
        <v>158</v>
      </c>
      <c r="U201" s="26" t="str">
        <f>IF(T201=1,COUNTIF($T$4:T201,1),"")</f>
        <v/>
      </c>
      <c r="V201" s="27" t="str">
        <f t="shared" si="21"/>
        <v/>
      </c>
      <c r="W201" s="27">
        <f t="shared" si="20"/>
        <v>0</v>
      </c>
      <c r="X201" s="28"/>
      <c r="Y201" s="27"/>
    </row>
    <row r="202" spans="1:257" ht="11.25" customHeight="1">
      <c r="A202" s="34"/>
      <c r="B202" s="24"/>
      <c r="C202" s="24"/>
      <c r="D202" s="24"/>
      <c r="E202" s="24"/>
      <c r="F202" s="25"/>
      <c r="G202" s="25"/>
      <c r="H202" s="25"/>
      <c r="I202" s="25"/>
      <c r="J202" s="24"/>
      <c r="K202" s="25"/>
      <c r="L202" s="25"/>
      <c r="M202" s="25"/>
      <c r="N202" s="25"/>
      <c r="O202" s="25"/>
      <c r="P202" s="25"/>
      <c r="Q202" s="25"/>
      <c r="R202" s="24"/>
      <c r="S202" s="26">
        <f t="shared" si="19"/>
        <v>0</v>
      </c>
      <c r="T202" s="26">
        <f>COUNTIF($V$4:V202,V202)</f>
        <v>159</v>
      </c>
      <c r="U202" s="26" t="str">
        <f>IF(T202=1,COUNTIF($T$4:T202,1),"")</f>
        <v/>
      </c>
      <c r="V202" s="27" t="str">
        <f t="shared" si="21"/>
        <v/>
      </c>
      <c r="W202" s="27">
        <f t="shared" si="20"/>
        <v>0</v>
      </c>
      <c r="X202" s="28"/>
      <c r="Y202" s="27"/>
    </row>
    <row r="203" spans="1:257" ht="11.25" customHeight="1">
      <c r="A203" s="34"/>
      <c r="B203" s="24"/>
      <c r="C203" s="24"/>
      <c r="D203" s="24"/>
      <c r="E203" s="24"/>
      <c r="F203" s="25"/>
      <c r="G203" s="25"/>
      <c r="H203" s="25"/>
      <c r="I203" s="25"/>
      <c r="J203" s="24"/>
      <c r="K203" s="25"/>
      <c r="L203" s="25"/>
      <c r="M203" s="25"/>
      <c r="N203" s="25"/>
      <c r="O203" s="25"/>
      <c r="P203" s="25"/>
      <c r="Q203" s="25"/>
      <c r="R203" s="24"/>
      <c r="S203" s="26">
        <f t="shared" si="19"/>
        <v>0</v>
      </c>
      <c r="T203" s="26">
        <f>COUNTIF($V$4:V203,V203)</f>
        <v>160</v>
      </c>
      <c r="U203" s="26" t="str">
        <f>IF(T203=1,COUNTIF($T$4:T203,1),"")</f>
        <v/>
      </c>
      <c r="V203" s="27" t="str">
        <f t="shared" si="21"/>
        <v/>
      </c>
      <c r="W203" s="27">
        <f t="shared" si="20"/>
        <v>0</v>
      </c>
      <c r="X203" s="28"/>
      <c r="Y203" s="27"/>
    </row>
    <row r="204" spans="1:257" ht="11.25" customHeight="1">
      <c r="A204" s="34"/>
      <c r="B204" s="24"/>
      <c r="C204" s="24"/>
      <c r="D204" s="24"/>
      <c r="E204" s="24"/>
      <c r="F204" s="25"/>
      <c r="G204" s="25"/>
      <c r="H204" s="25"/>
      <c r="I204" s="25"/>
      <c r="J204" s="24"/>
      <c r="K204" s="25"/>
      <c r="L204" s="25"/>
      <c r="M204" s="25"/>
      <c r="N204" s="25"/>
      <c r="O204" s="25"/>
      <c r="P204" s="25"/>
      <c r="Q204" s="25"/>
      <c r="R204" s="24"/>
      <c r="S204" s="26">
        <f t="shared" si="19"/>
        <v>0</v>
      </c>
      <c r="T204" s="26">
        <f>COUNTIF($V$4:V204,V204)</f>
        <v>161</v>
      </c>
      <c r="U204" s="26" t="str">
        <f>IF(T204=1,COUNTIF($T$4:T204,1),"")</f>
        <v/>
      </c>
      <c r="V204" s="27" t="str">
        <f t="shared" si="21"/>
        <v/>
      </c>
      <c r="W204" s="27">
        <f t="shared" si="20"/>
        <v>0</v>
      </c>
      <c r="X204" s="28"/>
      <c r="Y204" s="27"/>
    </row>
    <row r="205" spans="1:257" ht="11.25" customHeight="1">
      <c r="A205" s="34"/>
      <c r="B205" s="24"/>
      <c r="C205" s="24"/>
      <c r="D205" s="24"/>
      <c r="E205" s="24"/>
      <c r="F205" s="25"/>
      <c r="G205" s="25"/>
      <c r="H205" s="25"/>
      <c r="I205" s="25"/>
      <c r="J205" s="24"/>
      <c r="K205" s="25"/>
      <c r="L205" s="25"/>
      <c r="M205" s="25"/>
      <c r="N205" s="25"/>
      <c r="O205" s="25"/>
      <c r="P205" s="25"/>
      <c r="Q205" s="25"/>
      <c r="R205" s="24"/>
      <c r="S205" s="26">
        <f t="shared" si="19"/>
        <v>0</v>
      </c>
      <c r="T205" s="26">
        <f>COUNTIF($V$4:V205,V205)</f>
        <v>162</v>
      </c>
      <c r="U205" s="26" t="str">
        <f>IF(T205=1,COUNTIF($T$4:T205,1),"")</f>
        <v/>
      </c>
      <c r="V205" s="27" t="str">
        <f t="shared" si="21"/>
        <v/>
      </c>
      <c r="W205" s="27">
        <f t="shared" si="20"/>
        <v>0</v>
      </c>
      <c r="X205" s="28"/>
      <c r="Y205" s="27"/>
    </row>
    <row r="206" spans="1:257" ht="11.25" customHeight="1">
      <c r="A206" s="34"/>
      <c r="B206" s="24"/>
      <c r="C206" s="24"/>
      <c r="D206" s="24"/>
      <c r="E206" s="24"/>
      <c r="F206" s="25"/>
      <c r="G206" s="25"/>
      <c r="H206" s="25"/>
      <c r="I206" s="25"/>
      <c r="J206" s="24"/>
      <c r="K206" s="25"/>
      <c r="L206" s="25"/>
      <c r="M206" s="25"/>
      <c r="N206" s="25"/>
      <c r="O206" s="25"/>
      <c r="P206" s="25"/>
      <c r="Q206" s="25"/>
      <c r="R206" s="24"/>
      <c r="S206" s="26">
        <f t="shared" si="19"/>
        <v>0</v>
      </c>
      <c r="T206" s="26">
        <f>COUNTIF($V$4:V206,V206)</f>
        <v>163</v>
      </c>
      <c r="U206" s="26" t="str">
        <f>IF(T206=1,COUNTIF($T$4:T206,1),"")</f>
        <v/>
      </c>
      <c r="V206" s="27" t="str">
        <f t="shared" si="21"/>
        <v/>
      </c>
      <c r="W206" s="27">
        <f t="shared" si="20"/>
        <v>0</v>
      </c>
      <c r="X206" s="28"/>
      <c r="Y206" s="27"/>
    </row>
    <row r="207" spans="1:257" ht="11.25" customHeight="1">
      <c r="A207" s="34"/>
      <c r="B207" s="24"/>
      <c r="C207" s="24"/>
      <c r="D207" s="24"/>
      <c r="E207" s="24"/>
      <c r="F207" s="25"/>
      <c r="G207" s="25"/>
      <c r="H207" s="25"/>
      <c r="I207" s="25"/>
      <c r="J207" s="24"/>
      <c r="K207" s="25"/>
      <c r="L207" s="25"/>
      <c r="M207" s="25"/>
      <c r="N207" s="25"/>
      <c r="O207" s="25"/>
      <c r="P207" s="25"/>
      <c r="Q207" s="25"/>
      <c r="R207" s="24"/>
      <c r="S207" s="26">
        <f t="shared" si="19"/>
        <v>0</v>
      </c>
      <c r="T207" s="26">
        <f>COUNTIF($V$4:V207,V207)</f>
        <v>164</v>
      </c>
      <c r="U207" s="26" t="str">
        <f>IF(T207=1,COUNTIF($T$4:T207,1),"")</f>
        <v/>
      </c>
      <c r="V207" s="27" t="str">
        <f t="shared" si="21"/>
        <v/>
      </c>
      <c r="W207" s="27">
        <f t="shared" si="20"/>
        <v>0</v>
      </c>
      <c r="X207" s="28"/>
      <c r="Y207" s="27"/>
    </row>
    <row r="208" spans="1:257" ht="11.25" customHeight="1">
      <c r="A208" s="34"/>
      <c r="B208" s="24"/>
      <c r="C208" s="24"/>
      <c r="D208" s="24"/>
      <c r="E208" s="24"/>
      <c r="F208" s="25"/>
      <c r="G208" s="25"/>
      <c r="H208" s="25"/>
      <c r="I208" s="25"/>
      <c r="J208" s="24"/>
      <c r="K208" s="25"/>
      <c r="L208" s="25"/>
      <c r="M208" s="25"/>
      <c r="N208" s="25"/>
      <c r="O208" s="25"/>
      <c r="P208" s="25"/>
      <c r="Q208" s="25"/>
      <c r="R208" s="24"/>
      <c r="S208" s="26">
        <f t="shared" si="19"/>
        <v>0</v>
      </c>
      <c r="T208" s="26">
        <f>COUNTIF($V$4:V208,V208)</f>
        <v>165</v>
      </c>
      <c r="U208" s="26" t="str">
        <f>IF(T208=1,COUNTIF($T$4:T208,1),"")</f>
        <v/>
      </c>
      <c r="V208" s="27" t="str">
        <f t="shared" si="21"/>
        <v/>
      </c>
      <c r="W208" s="27">
        <f t="shared" si="20"/>
        <v>0</v>
      </c>
      <c r="X208" s="28"/>
      <c r="Y208" s="27"/>
    </row>
    <row r="209" spans="1:25" ht="11.25" customHeight="1">
      <c r="A209" s="34"/>
      <c r="B209" s="24"/>
      <c r="C209" s="24"/>
      <c r="D209" s="24"/>
      <c r="E209" s="24"/>
      <c r="F209" s="25"/>
      <c r="G209" s="25"/>
      <c r="H209" s="25"/>
      <c r="I209" s="25"/>
      <c r="J209" s="24"/>
      <c r="K209" s="25"/>
      <c r="L209" s="25"/>
      <c r="M209" s="25"/>
      <c r="N209" s="25"/>
      <c r="O209" s="25"/>
      <c r="P209" s="25"/>
      <c r="Q209" s="25"/>
      <c r="R209" s="24"/>
      <c r="S209" s="26">
        <f t="shared" si="19"/>
        <v>0</v>
      </c>
      <c r="T209" s="26">
        <f>COUNTIF($V$4:V209,V209)</f>
        <v>166</v>
      </c>
      <c r="U209" s="26" t="str">
        <f>IF(T209=1,COUNTIF($T$4:T209,1),"")</f>
        <v/>
      </c>
      <c r="V209" s="27" t="str">
        <f t="shared" si="21"/>
        <v/>
      </c>
      <c r="W209" s="27">
        <f t="shared" si="20"/>
        <v>0</v>
      </c>
      <c r="X209" s="28"/>
      <c r="Y209" s="27"/>
    </row>
    <row r="210" spans="1:25" ht="11.25" customHeight="1">
      <c r="A210" s="34"/>
      <c r="B210" s="24"/>
      <c r="C210" s="24"/>
      <c r="D210" s="24"/>
      <c r="E210" s="24"/>
      <c r="F210" s="25"/>
      <c r="G210" s="25"/>
      <c r="H210" s="25"/>
      <c r="I210" s="25"/>
      <c r="J210" s="24"/>
      <c r="K210" s="25"/>
      <c r="L210" s="25"/>
      <c r="M210" s="25"/>
      <c r="N210" s="25"/>
      <c r="O210" s="25"/>
      <c r="P210" s="25"/>
      <c r="Q210" s="25"/>
      <c r="R210" s="24"/>
      <c r="S210" s="26">
        <f t="shared" si="19"/>
        <v>0</v>
      </c>
      <c r="T210" s="26">
        <f>COUNTIF($V$4:V210,V210)</f>
        <v>167</v>
      </c>
      <c r="U210" s="26" t="str">
        <f>IF(T210=1,COUNTIF($T$4:T210,1),"")</f>
        <v/>
      </c>
      <c r="V210" s="27" t="str">
        <f t="shared" si="21"/>
        <v/>
      </c>
      <c r="W210" s="27">
        <f t="shared" si="20"/>
        <v>0</v>
      </c>
      <c r="X210" s="28"/>
      <c r="Y210" s="27"/>
    </row>
    <row r="211" spans="1:25" ht="11.25" customHeight="1">
      <c r="A211" s="34"/>
      <c r="B211" s="24"/>
      <c r="C211" s="24"/>
      <c r="D211" s="24"/>
      <c r="E211" s="24"/>
      <c r="F211" s="25"/>
      <c r="G211" s="25"/>
      <c r="H211" s="25"/>
      <c r="I211" s="25"/>
      <c r="J211" s="24"/>
      <c r="K211" s="25"/>
      <c r="L211" s="25"/>
      <c r="M211" s="25"/>
      <c r="N211" s="25"/>
      <c r="O211" s="25"/>
      <c r="P211" s="25"/>
      <c r="Q211" s="25"/>
      <c r="R211" s="24"/>
      <c r="S211" s="26">
        <f t="shared" si="19"/>
        <v>0</v>
      </c>
      <c r="T211" s="26">
        <f>COUNTIF($V$4:V211,V211)</f>
        <v>168</v>
      </c>
      <c r="U211" s="26" t="str">
        <f>IF(T211=1,COUNTIF($T$4:T211,1),"")</f>
        <v/>
      </c>
      <c r="V211" s="27" t="str">
        <f t="shared" si="21"/>
        <v/>
      </c>
      <c r="W211" s="27">
        <f t="shared" si="20"/>
        <v>0</v>
      </c>
      <c r="X211" s="28"/>
      <c r="Y211" s="27"/>
    </row>
    <row r="212" spans="1:25" ht="11.25" customHeight="1">
      <c r="A212" s="34"/>
      <c r="B212" s="24"/>
      <c r="C212" s="24"/>
      <c r="D212" s="24"/>
      <c r="E212" s="24"/>
      <c r="F212" s="25"/>
      <c r="G212" s="25"/>
      <c r="H212" s="25"/>
      <c r="I212" s="25"/>
      <c r="J212" s="24"/>
      <c r="K212" s="25"/>
      <c r="L212" s="25"/>
      <c r="M212" s="25"/>
      <c r="N212" s="25"/>
      <c r="O212" s="25"/>
      <c r="P212" s="25"/>
      <c r="Q212" s="25"/>
      <c r="R212" s="24"/>
      <c r="S212" s="26">
        <f t="shared" si="19"/>
        <v>0</v>
      </c>
      <c r="T212" s="26">
        <f>COUNTIF($V$4:V212,V212)</f>
        <v>169</v>
      </c>
      <c r="U212" s="26" t="str">
        <f>IF(T212=1,COUNTIF($T$4:T212,1),"")</f>
        <v/>
      </c>
      <c r="V212" s="27" t="str">
        <f t="shared" si="21"/>
        <v/>
      </c>
      <c r="W212" s="27">
        <f t="shared" si="20"/>
        <v>0</v>
      </c>
      <c r="X212" s="28"/>
      <c r="Y212" s="27"/>
    </row>
    <row r="213" spans="1:25" ht="11.25" customHeight="1">
      <c r="A213" s="34"/>
      <c r="B213" s="24"/>
      <c r="C213" s="24"/>
      <c r="D213" s="24"/>
      <c r="E213" s="24"/>
      <c r="F213" s="25"/>
      <c r="G213" s="25"/>
      <c r="H213" s="25"/>
      <c r="I213" s="25"/>
      <c r="J213" s="24"/>
      <c r="K213" s="25"/>
      <c r="L213" s="25"/>
      <c r="M213" s="25"/>
      <c r="N213" s="25"/>
      <c r="O213" s="25"/>
      <c r="P213" s="25"/>
      <c r="Q213" s="25"/>
      <c r="R213" s="24"/>
      <c r="S213" s="26">
        <f t="shared" si="19"/>
        <v>0</v>
      </c>
      <c r="T213" s="26">
        <f>COUNTIF($V$4:V213,V213)</f>
        <v>170</v>
      </c>
      <c r="U213" s="26" t="str">
        <f>IF(T213=1,COUNTIF($T$4:T213,1),"")</f>
        <v/>
      </c>
      <c r="V213" s="27" t="str">
        <f t="shared" si="21"/>
        <v/>
      </c>
      <c r="W213" s="27">
        <f t="shared" si="20"/>
        <v>0</v>
      </c>
      <c r="X213" s="28"/>
      <c r="Y213" s="27"/>
    </row>
    <row r="214" spans="1:25" ht="11.25" customHeight="1">
      <c r="A214" s="34"/>
      <c r="B214" s="24"/>
      <c r="C214" s="24"/>
      <c r="D214" s="24"/>
      <c r="E214" s="24"/>
      <c r="F214" s="25"/>
      <c r="G214" s="25"/>
      <c r="H214" s="25"/>
      <c r="I214" s="25"/>
      <c r="J214" s="24"/>
      <c r="K214" s="25"/>
      <c r="L214" s="25"/>
      <c r="M214" s="25"/>
      <c r="N214" s="25"/>
      <c r="O214" s="25"/>
      <c r="P214" s="25"/>
      <c r="Q214" s="25"/>
      <c r="R214" s="24"/>
      <c r="S214" s="26">
        <f t="shared" si="19"/>
        <v>0</v>
      </c>
      <c r="T214" s="26">
        <f>COUNTIF($V$4:V214,V214)</f>
        <v>171</v>
      </c>
      <c r="U214" s="26" t="str">
        <f>IF(T214=1,COUNTIF($T$4:T214,1),"")</f>
        <v/>
      </c>
      <c r="V214" s="27" t="str">
        <f t="shared" si="21"/>
        <v/>
      </c>
      <c r="W214" s="27">
        <f t="shared" si="20"/>
        <v>0</v>
      </c>
      <c r="X214" s="28"/>
      <c r="Y214" s="27"/>
    </row>
    <row r="215" spans="1:25" ht="11.25" customHeight="1">
      <c r="A215" s="34"/>
      <c r="B215" s="24"/>
      <c r="C215" s="24"/>
      <c r="D215" s="24"/>
      <c r="E215" s="24"/>
      <c r="F215" s="25"/>
      <c r="G215" s="25"/>
      <c r="H215" s="25"/>
      <c r="I215" s="25"/>
      <c r="J215" s="24"/>
      <c r="K215" s="25"/>
      <c r="L215" s="25"/>
      <c r="M215" s="25"/>
      <c r="N215" s="25"/>
      <c r="O215" s="25"/>
      <c r="P215" s="25"/>
      <c r="Q215" s="25"/>
      <c r="R215" s="24"/>
      <c r="S215" s="26">
        <f t="shared" si="19"/>
        <v>0</v>
      </c>
      <c r="T215" s="26">
        <f>COUNTIF($V$4:V215,V215)</f>
        <v>172</v>
      </c>
      <c r="U215" s="26" t="str">
        <f>IF(T215=1,COUNTIF($T$4:T215,1),"")</f>
        <v/>
      </c>
      <c r="V215" s="27" t="str">
        <f t="shared" si="21"/>
        <v/>
      </c>
      <c r="W215" s="27">
        <f t="shared" si="20"/>
        <v>0</v>
      </c>
      <c r="X215" s="28"/>
      <c r="Y215" s="27"/>
    </row>
    <row r="216" spans="1:25">
      <c r="A216" s="34"/>
      <c r="B216" s="24"/>
      <c r="C216" s="24"/>
      <c r="D216" s="24"/>
      <c r="E216" s="24"/>
      <c r="F216" s="25"/>
      <c r="G216" s="25"/>
      <c r="H216" s="25"/>
      <c r="I216" s="25"/>
      <c r="J216" s="24"/>
      <c r="K216" s="25"/>
      <c r="L216" s="25"/>
      <c r="M216" s="25"/>
      <c r="N216" s="25"/>
      <c r="O216" s="25"/>
      <c r="P216" s="25"/>
      <c r="Q216" s="25"/>
      <c r="R216" s="24"/>
      <c r="S216" s="26">
        <f t="shared" si="19"/>
        <v>0</v>
      </c>
      <c r="T216" s="26">
        <f>COUNTIF($V$4:V216,V216)</f>
        <v>173</v>
      </c>
      <c r="U216" s="26" t="str">
        <f>IF(T216=1,COUNTIF($T$4:T216,1),"")</f>
        <v/>
      </c>
      <c r="V216" s="27" t="str">
        <f t="shared" si="21"/>
        <v/>
      </c>
      <c r="W216" s="27">
        <f t="shared" si="20"/>
        <v>0</v>
      </c>
      <c r="X216" s="28"/>
      <c r="Y216" s="27"/>
    </row>
    <row r="217" spans="1:25" ht="11.25" customHeight="1">
      <c r="A217" s="34"/>
      <c r="B217" s="24"/>
      <c r="C217" s="24"/>
      <c r="D217" s="24"/>
      <c r="E217" s="24"/>
      <c r="F217" s="25"/>
      <c r="G217" s="25"/>
      <c r="H217" s="25"/>
      <c r="I217" s="25"/>
      <c r="J217" s="24"/>
      <c r="K217" s="25"/>
      <c r="L217" s="25"/>
      <c r="M217" s="25"/>
      <c r="N217" s="25"/>
      <c r="O217" s="25"/>
      <c r="P217" s="25"/>
      <c r="Q217" s="25"/>
      <c r="R217" s="24"/>
      <c r="S217" s="26">
        <f t="shared" si="19"/>
        <v>0</v>
      </c>
      <c r="T217" s="26">
        <f>COUNTIF($V$4:V217,V217)</f>
        <v>174</v>
      </c>
      <c r="U217" s="26" t="str">
        <f>IF(T217=1,COUNTIF($T$4:T217,1),"")</f>
        <v/>
      </c>
      <c r="V217" s="27" t="str">
        <f t="shared" si="21"/>
        <v/>
      </c>
      <c r="W217" s="27">
        <f t="shared" si="20"/>
        <v>0</v>
      </c>
      <c r="X217" s="28"/>
      <c r="Y217" s="27"/>
    </row>
    <row r="218" spans="1:25" ht="11.25" customHeight="1">
      <c r="A218" s="34"/>
      <c r="B218" s="24"/>
      <c r="C218" s="24"/>
      <c r="D218" s="24"/>
      <c r="E218" s="24"/>
      <c r="F218" s="25"/>
      <c r="G218" s="25"/>
      <c r="H218" s="25"/>
      <c r="I218" s="25"/>
      <c r="J218" s="24"/>
      <c r="K218" s="25"/>
      <c r="L218" s="25"/>
      <c r="M218" s="25"/>
      <c r="N218" s="25"/>
      <c r="O218" s="25"/>
      <c r="P218" s="25"/>
      <c r="Q218" s="25"/>
      <c r="R218" s="24"/>
      <c r="S218" s="26">
        <f t="shared" si="19"/>
        <v>0</v>
      </c>
      <c r="T218" s="26">
        <f>COUNTIF($V$4:V218,V218)</f>
        <v>175</v>
      </c>
      <c r="U218" s="26" t="str">
        <f>IF(T218=1,COUNTIF($T$4:T218,1),"")</f>
        <v/>
      </c>
      <c r="V218" s="27" t="str">
        <f t="shared" si="21"/>
        <v/>
      </c>
      <c r="W218" s="27">
        <f t="shared" si="20"/>
        <v>0</v>
      </c>
      <c r="X218" s="28"/>
      <c r="Y218" s="27"/>
    </row>
    <row r="219" spans="1:25" ht="11.25" customHeight="1">
      <c r="A219" s="34"/>
      <c r="B219" s="24"/>
      <c r="C219" s="24"/>
      <c r="D219" s="24"/>
      <c r="E219" s="24"/>
      <c r="F219" s="25"/>
      <c r="G219" s="25"/>
      <c r="H219" s="25"/>
      <c r="I219" s="25"/>
      <c r="J219" s="24"/>
      <c r="K219" s="25"/>
      <c r="L219" s="25"/>
      <c r="M219" s="25"/>
      <c r="N219" s="25"/>
      <c r="O219" s="25"/>
      <c r="P219" s="25"/>
      <c r="Q219" s="25"/>
      <c r="R219" s="24"/>
      <c r="S219" s="26">
        <f t="shared" si="19"/>
        <v>0</v>
      </c>
      <c r="T219" s="26">
        <f>COUNTIF($V$4:V219,V219)</f>
        <v>176</v>
      </c>
      <c r="U219" s="26" t="str">
        <f>IF(T219=1,COUNTIF($T$4:T219,1),"")</f>
        <v/>
      </c>
      <c r="V219" s="27" t="str">
        <f t="shared" si="21"/>
        <v/>
      </c>
      <c r="W219" s="27">
        <f t="shared" si="20"/>
        <v>0</v>
      </c>
      <c r="X219" s="28"/>
      <c r="Y219" s="27"/>
    </row>
    <row r="220" spans="1:25" ht="11.25" customHeight="1">
      <c r="A220" s="34"/>
      <c r="B220" s="24"/>
      <c r="C220" s="24"/>
      <c r="D220" s="24"/>
      <c r="E220" s="24"/>
      <c r="F220" s="25"/>
      <c r="G220" s="25"/>
      <c r="H220" s="25"/>
      <c r="I220" s="25"/>
      <c r="J220" s="24"/>
      <c r="K220" s="25"/>
      <c r="L220" s="25"/>
      <c r="M220" s="25"/>
      <c r="N220" s="25"/>
      <c r="O220" s="25"/>
      <c r="P220" s="25"/>
      <c r="Q220" s="25"/>
      <c r="R220" s="24"/>
      <c r="S220" s="26">
        <f t="shared" si="19"/>
        <v>0</v>
      </c>
      <c r="T220" s="26">
        <f>COUNTIF($V$4:V220,V220)</f>
        <v>177</v>
      </c>
      <c r="U220" s="26" t="str">
        <f>IF(T220=1,COUNTIF($T$4:T220,1),"")</f>
        <v/>
      </c>
      <c r="V220" s="27" t="str">
        <f t="shared" si="21"/>
        <v/>
      </c>
      <c r="W220" s="27">
        <f t="shared" si="20"/>
        <v>0</v>
      </c>
      <c r="X220" s="28"/>
      <c r="Y220" s="27"/>
    </row>
    <row r="221" spans="1:25" ht="11.25" customHeight="1">
      <c r="A221" s="34"/>
      <c r="B221" s="24"/>
      <c r="C221" s="24"/>
      <c r="D221" s="24"/>
      <c r="E221" s="24"/>
      <c r="F221" s="25"/>
      <c r="G221" s="25"/>
      <c r="H221" s="25"/>
      <c r="I221" s="25"/>
      <c r="J221" s="24"/>
      <c r="K221" s="25"/>
      <c r="L221" s="25"/>
      <c r="M221" s="25"/>
      <c r="N221" s="25"/>
      <c r="O221" s="25"/>
      <c r="P221" s="25"/>
      <c r="Q221" s="25"/>
      <c r="R221" s="24"/>
      <c r="S221" s="26">
        <f t="shared" si="19"/>
        <v>0</v>
      </c>
      <c r="T221" s="26">
        <f>COUNTIF($V$4:V221,V221)</f>
        <v>178</v>
      </c>
      <c r="U221" s="26" t="str">
        <f>IF(T221=1,COUNTIF($T$4:T221,1),"")</f>
        <v/>
      </c>
      <c r="V221" s="27" t="str">
        <f t="shared" si="21"/>
        <v/>
      </c>
      <c r="W221" s="27">
        <f t="shared" si="20"/>
        <v>0</v>
      </c>
      <c r="X221" s="28"/>
      <c r="Y221" s="27"/>
    </row>
    <row r="222" spans="1:25" ht="11.25" customHeight="1">
      <c r="A222" s="34"/>
      <c r="B222" s="24"/>
      <c r="C222" s="24"/>
      <c r="D222" s="24"/>
      <c r="E222" s="24"/>
      <c r="F222" s="25"/>
      <c r="G222" s="25"/>
      <c r="H222" s="25"/>
      <c r="I222" s="25"/>
      <c r="J222" s="24"/>
      <c r="K222" s="25"/>
      <c r="L222" s="25"/>
      <c r="M222" s="25"/>
      <c r="N222" s="25"/>
      <c r="O222" s="25"/>
      <c r="P222" s="25"/>
      <c r="Q222" s="25"/>
      <c r="R222" s="24"/>
      <c r="S222" s="26">
        <f t="shared" si="19"/>
        <v>0</v>
      </c>
      <c r="T222" s="26">
        <f>COUNTIF($V$4:V222,V222)</f>
        <v>179</v>
      </c>
      <c r="U222" s="26" t="str">
        <f>IF(T222=1,COUNTIF($T$4:T222,1),"")</f>
        <v/>
      </c>
      <c r="V222" s="27" t="str">
        <f t="shared" si="21"/>
        <v/>
      </c>
      <c r="W222" s="27">
        <f t="shared" si="20"/>
        <v>0</v>
      </c>
      <c r="X222" s="28"/>
      <c r="Y222" s="27"/>
    </row>
    <row r="223" spans="1:25" ht="11.25" customHeight="1">
      <c r="A223" s="34"/>
      <c r="B223" s="24"/>
      <c r="C223" s="24"/>
      <c r="D223" s="24"/>
      <c r="E223" s="24"/>
      <c r="F223" s="25"/>
      <c r="G223" s="25"/>
      <c r="H223" s="25"/>
      <c r="I223" s="25"/>
      <c r="J223" s="24"/>
      <c r="K223" s="25"/>
      <c r="L223" s="25"/>
      <c r="M223" s="25"/>
      <c r="N223" s="25"/>
      <c r="O223" s="25"/>
      <c r="P223" s="25"/>
      <c r="Q223" s="25"/>
      <c r="R223" s="24"/>
      <c r="S223" s="26">
        <f t="shared" si="19"/>
        <v>0</v>
      </c>
      <c r="T223" s="26">
        <f>COUNTIF($V$4:V223,V223)</f>
        <v>180</v>
      </c>
      <c r="U223" s="26" t="str">
        <f>IF(T223=1,COUNTIF($T$4:T223,1),"")</f>
        <v/>
      </c>
      <c r="V223" s="27" t="str">
        <f t="shared" si="21"/>
        <v/>
      </c>
      <c r="W223" s="27">
        <f t="shared" si="20"/>
        <v>0</v>
      </c>
      <c r="X223" s="28"/>
      <c r="Y223" s="27"/>
    </row>
    <row r="224" spans="1:25">
      <c r="A224" s="34"/>
      <c r="B224" s="24"/>
      <c r="C224" s="24"/>
      <c r="D224" s="24"/>
      <c r="E224" s="24"/>
      <c r="F224" s="25"/>
      <c r="G224" s="25"/>
      <c r="H224" s="25"/>
      <c r="I224" s="25"/>
      <c r="J224" s="24"/>
      <c r="K224" s="25"/>
      <c r="L224" s="25"/>
      <c r="M224" s="25"/>
      <c r="N224" s="25"/>
      <c r="O224" s="25"/>
      <c r="P224" s="25"/>
      <c r="Q224" s="25"/>
      <c r="R224" s="24"/>
      <c r="S224" s="26">
        <f t="shared" si="19"/>
        <v>0</v>
      </c>
      <c r="T224" s="26">
        <f>COUNTIF($V$4:V224,V224)</f>
        <v>181</v>
      </c>
      <c r="U224" s="26" t="str">
        <f>IF(T224=1,COUNTIF($T$4:T224,1),"")</f>
        <v/>
      </c>
      <c r="V224" s="27" t="str">
        <f t="shared" si="21"/>
        <v/>
      </c>
      <c r="W224" s="27">
        <f t="shared" si="20"/>
        <v>0</v>
      </c>
      <c r="X224" s="28"/>
      <c r="Y224" s="27"/>
    </row>
    <row r="225" spans="1:25">
      <c r="A225" s="34"/>
      <c r="B225" s="24"/>
      <c r="C225" s="24"/>
      <c r="D225" s="24"/>
      <c r="E225" s="24"/>
      <c r="F225" s="25"/>
      <c r="G225" s="25"/>
      <c r="H225" s="25"/>
      <c r="I225" s="25"/>
      <c r="J225" s="24"/>
      <c r="K225" s="25"/>
      <c r="L225" s="25"/>
      <c r="M225" s="25"/>
      <c r="N225" s="25"/>
      <c r="O225" s="25"/>
      <c r="P225" s="25"/>
      <c r="Q225" s="25"/>
      <c r="R225" s="24"/>
      <c r="S225" s="26">
        <f t="shared" si="19"/>
        <v>0</v>
      </c>
      <c r="T225" s="26">
        <f>COUNTIF($V$4:V225,V225)</f>
        <v>182</v>
      </c>
      <c r="U225" s="26" t="str">
        <f>IF(T225=1,COUNTIF($T$4:T225,1),"")</f>
        <v/>
      </c>
      <c r="V225" s="27" t="str">
        <f t="shared" si="21"/>
        <v/>
      </c>
      <c r="W225" s="27">
        <f t="shared" si="20"/>
        <v>0</v>
      </c>
      <c r="X225" s="28"/>
      <c r="Y225" s="27"/>
    </row>
    <row r="226" spans="1:25">
      <c r="A226" s="34"/>
      <c r="B226" s="24"/>
      <c r="C226" s="24"/>
      <c r="D226" s="24"/>
      <c r="E226" s="24"/>
      <c r="F226" s="25"/>
      <c r="G226" s="25"/>
      <c r="H226" s="25"/>
      <c r="I226" s="25"/>
      <c r="J226" s="24"/>
      <c r="K226" s="25"/>
      <c r="L226" s="25"/>
      <c r="M226" s="25"/>
      <c r="N226" s="25"/>
      <c r="O226" s="25"/>
      <c r="P226" s="25"/>
      <c r="Q226" s="25"/>
      <c r="R226" s="24"/>
      <c r="S226" s="26">
        <f t="shared" si="19"/>
        <v>0</v>
      </c>
      <c r="T226" s="26">
        <f>COUNTIF($V$4:V226,V226)</f>
        <v>183</v>
      </c>
      <c r="U226" s="26" t="str">
        <f>IF(T226=1,COUNTIF($T$4:T226,1),"")</f>
        <v/>
      </c>
      <c r="V226" s="27" t="str">
        <f t="shared" si="21"/>
        <v/>
      </c>
      <c r="W226" s="27">
        <f t="shared" si="20"/>
        <v>0</v>
      </c>
      <c r="X226" s="28"/>
      <c r="Y226" s="27"/>
    </row>
    <row r="227" spans="1:25">
      <c r="A227" s="34"/>
      <c r="B227" s="24"/>
      <c r="C227" s="24"/>
      <c r="D227" s="24"/>
      <c r="E227" s="24"/>
      <c r="F227" s="25"/>
      <c r="G227" s="25"/>
      <c r="H227" s="25"/>
      <c r="I227" s="25"/>
      <c r="J227" s="24"/>
      <c r="K227" s="25"/>
      <c r="L227" s="25"/>
      <c r="M227" s="25"/>
      <c r="N227" s="25"/>
      <c r="O227" s="25"/>
      <c r="P227" s="25"/>
      <c r="Q227" s="25"/>
      <c r="R227" s="24"/>
      <c r="S227" s="26">
        <f t="shared" si="19"/>
        <v>0</v>
      </c>
      <c r="T227" s="26">
        <f>COUNTIF($V$4:V227,V227)</f>
        <v>184</v>
      </c>
      <c r="U227" s="26" t="str">
        <f>IF(T227=1,COUNTIF($T$4:T227,1),"")</f>
        <v/>
      </c>
      <c r="V227" s="27" t="str">
        <f t="shared" si="21"/>
        <v/>
      </c>
      <c r="W227" s="27">
        <f t="shared" si="20"/>
        <v>0</v>
      </c>
      <c r="X227" s="28"/>
      <c r="Y227" s="27"/>
    </row>
    <row r="228" spans="1:25" ht="11.25" customHeight="1">
      <c r="A228" s="34"/>
      <c r="B228" s="24"/>
      <c r="C228" s="24"/>
      <c r="D228" s="24"/>
      <c r="E228" s="24"/>
      <c r="F228" s="25"/>
      <c r="G228" s="25"/>
      <c r="H228" s="25"/>
      <c r="I228" s="25"/>
      <c r="J228" s="24"/>
      <c r="K228" s="25"/>
      <c r="L228" s="25"/>
      <c r="M228" s="25"/>
      <c r="N228" s="25"/>
      <c r="O228" s="25"/>
      <c r="P228" s="25"/>
      <c r="Q228" s="25"/>
      <c r="R228" s="24"/>
      <c r="S228" s="26">
        <f t="shared" si="19"/>
        <v>0</v>
      </c>
      <c r="T228" s="26">
        <f>COUNTIF($V$4:V228,V228)</f>
        <v>185</v>
      </c>
      <c r="U228" s="26" t="str">
        <f>IF(T228=1,COUNTIF($T$4:T228,1),"")</f>
        <v/>
      </c>
      <c r="V228" s="27" t="str">
        <f t="shared" si="21"/>
        <v/>
      </c>
      <c r="W228" s="27">
        <f t="shared" si="20"/>
        <v>0</v>
      </c>
      <c r="X228" s="28"/>
      <c r="Y228" s="27"/>
    </row>
    <row r="229" spans="1:25">
      <c r="A229" s="34"/>
      <c r="B229" s="24"/>
      <c r="C229" s="24"/>
      <c r="D229" s="24"/>
      <c r="E229" s="24"/>
      <c r="F229" s="25"/>
      <c r="G229" s="25"/>
      <c r="H229" s="25"/>
      <c r="I229" s="25"/>
      <c r="J229" s="24"/>
      <c r="K229" s="25"/>
      <c r="L229" s="25"/>
      <c r="M229" s="25"/>
      <c r="N229" s="25"/>
      <c r="O229" s="25"/>
      <c r="P229" s="25"/>
      <c r="Q229" s="25"/>
      <c r="R229" s="24"/>
      <c r="S229" s="26">
        <f t="shared" si="19"/>
        <v>0</v>
      </c>
      <c r="T229" s="26">
        <f>COUNTIF($V$4:V229,V229)</f>
        <v>186</v>
      </c>
      <c r="U229" s="26" t="str">
        <f>IF(T229=1,COUNTIF($T$4:T229,1),"")</f>
        <v/>
      </c>
      <c r="V229" s="27" t="str">
        <f t="shared" si="21"/>
        <v/>
      </c>
      <c r="W229" s="27">
        <f t="shared" si="20"/>
        <v>0</v>
      </c>
      <c r="X229" s="28"/>
      <c r="Y229" s="27"/>
    </row>
    <row r="230" spans="1:25" ht="11.25" customHeight="1">
      <c r="A230" s="34"/>
      <c r="B230" s="24"/>
      <c r="C230" s="24"/>
      <c r="D230" s="24"/>
      <c r="E230" s="24"/>
      <c r="F230" s="25"/>
      <c r="G230" s="25"/>
      <c r="H230" s="25"/>
      <c r="I230" s="25"/>
      <c r="J230" s="24"/>
      <c r="K230" s="25"/>
      <c r="L230" s="25"/>
      <c r="M230" s="25"/>
      <c r="N230" s="25"/>
      <c r="O230" s="25"/>
      <c r="P230" s="25"/>
      <c r="Q230" s="25"/>
      <c r="R230" s="24"/>
      <c r="S230" s="26">
        <f t="shared" si="19"/>
        <v>0</v>
      </c>
      <c r="T230" s="26">
        <f>COUNTIF($V$4:V230,V230)</f>
        <v>187</v>
      </c>
      <c r="U230" s="26" t="str">
        <f>IF(T230=1,COUNTIF($T$4:T230,1),"")</f>
        <v/>
      </c>
      <c r="V230" s="27" t="str">
        <f t="shared" si="21"/>
        <v/>
      </c>
      <c r="W230" s="27">
        <f t="shared" si="20"/>
        <v>0</v>
      </c>
      <c r="X230" s="28"/>
      <c r="Y230" s="27"/>
    </row>
    <row r="231" spans="1:25" ht="11.25" customHeight="1">
      <c r="A231" s="34"/>
      <c r="B231" s="24"/>
      <c r="C231" s="24"/>
      <c r="D231" s="24"/>
      <c r="E231" s="24"/>
      <c r="F231" s="25"/>
      <c r="G231" s="25"/>
      <c r="H231" s="25"/>
      <c r="I231" s="25"/>
      <c r="J231" s="24"/>
      <c r="K231" s="25"/>
      <c r="L231" s="25"/>
      <c r="M231" s="25"/>
      <c r="N231" s="25"/>
      <c r="O231" s="25"/>
      <c r="P231" s="25"/>
      <c r="Q231" s="25"/>
      <c r="R231" s="24"/>
      <c r="S231" s="26">
        <f t="shared" si="19"/>
        <v>0</v>
      </c>
      <c r="T231" s="26">
        <f>COUNTIF($V$4:V231,V231)</f>
        <v>188</v>
      </c>
      <c r="U231" s="26" t="str">
        <f>IF(T231=1,COUNTIF($T$4:T231,1),"")</f>
        <v/>
      </c>
      <c r="V231" s="27" t="str">
        <f t="shared" si="21"/>
        <v/>
      </c>
      <c r="W231" s="27">
        <f t="shared" si="20"/>
        <v>0</v>
      </c>
      <c r="X231" s="28"/>
      <c r="Y231" s="27"/>
    </row>
    <row r="232" spans="1:25" ht="11.25" customHeight="1">
      <c r="A232" s="34"/>
      <c r="B232" s="24"/>
      <c r="C232" s="24"/>
      <c r="D232" s="24"/>
      <c r="E232" s="24"/>
      <c r="F232" s="25"/>
      <c r="G232" s="25"/>
      <c r="H232" s="25"/>
      <c r="I232" s="25"/>
      <c r="J232" s="24"/>
      <c r="K232" s="25"/>
      <c r="L232" s="25"/>
      <c r="M232" s="25"/>
      <c r="N232" s="25"/>
      <c r="O232" s="25"/>
      <c r="P232" s="25"/>
      <c r="Q232" s="25"/>
      <c r="R232" s="24"/>
      <c r="S232" s="26">
        <f t="shared" si="19"/>
        <v>0</v>
      </c>
      <c r="T232" s="26">
        <f>COUNTIF($V$4:V232,V232)</f>
        <v>189</v>
      </c>
      <c r="U232" s="26" t="str">
        <f>IF(T232=1,COUNTIF($T$4:T232,1),"")</f>
        <v/>
      </c>
      <c r="V232" s="27" t="str">
        <f t="shared" si="21"/>
        <v/>
      </c>
      <c r="W232" s="27">
        <f t="shared" si="20"/>
        <v>0</v>
      </c>
      <c r="X232" s="28"/>
      <c r="Y232" s="27"/>
    </row>
    <row r="233" spans="1:25" ht="11.25" customHeight="1">
      <c r="A233" s="34"/>
      <c r="B233" s="24"/>
      <c r="C233" s="24"/>
      <c r="D233" s="24"/>
      <c r="E233" s="24"/>
      <c r="F233" s="25"/>
      <c r="G233" s="25"/>
      <c r="H233" s="25"/>
      <c r="I233" s="25"/>
      <c r="J233" s="24"/>
      <c r="K233" s="25"/>
      <c r="L233" s="25"/>
      <c r="M233" s="25"/>
      <c r="N233" s="25"/>
      <c r="O233" s="25"/>
      <c r="P233" s="25"/>
      <c r="Q233" s="25"/>
      <c r="R233" s="24"/>
      <c r="S233" s="26">
        <f t="shared" si="19"/>
        <v>0</v>
      </c>
      <c r="T233" s="26">
        <f>COUNTIF($V$4:V233,V233)</f>
        <v>190</v>
      </c>
      <c r="U233" s="26" t="str">
        <f>IF(T233=1,COUNTIF($T$4:T233,1),"")</f>
        <v/>
      </c>
      <c r="V233" s="27" t="str">
        <f t="shared" si="21"/>
        <v/>
      </c>
      <c r="W233" s="27">
        <f t="shared" si="20"/>
        <v>0</v>
      </c>
      <c r="X233" s="28"/>
      <c r="Y233" s="27"/>
    </row>
    <row r="234" spans="1:25" ht="11.25" customHeight="1">
      <c r="A234" s="34"/>
      <c r="B234" s="24"/>
      <c r="C234" s="24"/>
      <c r="D234" s="24"/>
      <c r="E234" s="24"/>
      <c r="F234" s="25"/>
      <c r="G234" s="25"/>
      <c r="H234" s="25"/>
      <c r="I234" s="25"/>
      <c r="J234" s="24"/>
      <c r="K234" s="25"/>
      <c r="L234" s="25"/>
      <c r="M234" s="25"/>
      <c r="N234" s="25"/>
      <c r="O234" s="25"/>
      <c r="P234" s="25"/>
      <c r="Q234" s="25"/>
      <c r="R234" s="24"/>
      <c r="S234" s="26">
        <f t="shared" si="19"/>
        <v>0</v>
      </c>
      <c r="T234" s="26">
        <f>COUNTIF($V$4:V234,V234)</f>
        <v>191</v>
      </c>
      <c r="U234" s="26" t="str">
        <f>IF(T234=1,COUNTIF($T$4:T234,1),"")</f>
        <v/>
      </c>
      <c r="V234" s="27" t="str">
        <f t="shared" si="21"/>
        <v/>
      </c>
      <c r="W234" s="27">
        <f t="shared" si="20"/>
        <v>0</v>
      </c>
      <c r="X234" s="28"/>
      <c r="Y234" s="27"/>
    </row>
    <row r="235" spans="1:25" ht="11.25" customHeight="1">
      <c r="A235" s="34"/>
      <c r="B235" s="24"/>
      <c r="C235" s="24"/>
      <c r="D235" s="24"/>
      <c r="E235" s="24"/>
      <c r="F235" s="25"/>
      <c r="G235" s="25"/>
      <c r="H235" s="25"/>
      <c r="I235" s="25"/>
      <c r="J235" s="24"/>
      <c r="K235" s="25"/>
      <c r="L235" s="25"/>
      <c r="M235" s="25"/>
      <c r="N235" s="25"/>
      <c r="O235" s="25"/>
      <c r="P235" s="25"/>
      <c r="Q235" s="25"/>
      <c r="R235" s="24"/>
      <c r="S235" s="26">
        <f t="shared" si="19"/>
        <v>0</v>
      </c>
      <c r="T235" s="26">
        <f>COUNTIF($V$4:V235,V235)</f>
        <v>192</v>
      </c>
      <c r="U235" s="26" t="str">
        <f>IF(T235=1,COUNTIF($T$4:T235,1),"")</f>
        <v/>
      </c>
      <c r="V235" s="27" t="str">
        <f t="shared" si="21"/>
        <v/>
      </c>
      <c r="W235" s="27">
        <f t="shared" si="20"/>
        <v>0</v>
      </c>
      <c r="X235" s="28"/>
      <c r="Y235" s="27"/>
    </row>
    <row r="236" spans="1:25" ht="11.25" customHeight="1">
      <c r="A236" s="34"/>
      <c r="B236" s="24"/>
      <c r="C236" s="24"/>
      <c r="D236" s="24"/>
      <c r="E236" s="24"/>
      <c r="F236" s="25"/>
      <c r="G236" s="25"/>
      <c r="H236" s="25"/>
      <c r="I236" s="25"/>
      <c r="J236" s="24"/>
      <c r="K236" s="25"/>
      <c r="L236" s="25"/>
      <c r="M236" s="25"/>
      <c r="N236" s="25"/>
      <c r="O236" s="25"/>
      <c r="P236" s="25"/>
      <c r="Q236" s="25"/>
      <c r="R236" s="24"/>
      <c r="S236" s="26">
        <f t="shared" si="19"/>
        <v>0</v>
      </c>
      <c r="T236" s="26">
        <f>COUNTIF($V$4:V236,V236)</f>
        <v>193</v>
      </c>
      <c r="U236" s="26" t="str">
        <f>IF(T236=1,COUNTIF($T$4:T236,1),"")</f>
        <v/>
      </c>
      <c r="V236" s="27" t="str">
        <f t="shared" si="21"/>
        <v/>
      </c>
      <c r="W236" s="27">
        <f t="shared" si="20"/>
        <v>0</v>
      </c>
      <c r="X236" s="28"/>
      <c r="Y236" s="27"/>
    </row>
    <row r="237" spans="1:25" ht="11.25" customHeight="1">
      <c r="A237" s="34"/>
      <c r="B237" s="24"/>
      <c r="C237" s="24"/>
      <c r="D237" s="24"/>
      <c r="E237" s="24"/>
      <c r="F237" s="25"/>
      <c r="G237" s="25"/>
      <c r="H237" s="25"/>
      <c r="I237" s="25"/>
      <c r="J237" s="24"/>
      <c r="K237" s="25"/>
      <c r="L237" s="25"/>
      <c r="M237" s="25"/>
      <c r="N237" s="25"/>
      <c r="O237" s="25"/>
      <c r="P237" s="25"/>
      <c r="Q237" s="25"/>
      <c r="R237" s="24"/>
      <c r="S237" s="26">
        <f t="shared" si="19"/>
        <v>0</v>
      </c>
      <c r="T237" s="26">
        <f>COUNTIF($V$4:V237,V237)</f>
        <v>194</v>
      </c>
      <c r="U237" s="26" t="str">
        <f>IF(T237=1,COUNTIF($T$4:T237,1),"")</f>
        <v/>
      </c>
      <c r="V237" s="27" t="str">
        <f t="shared" si="21"/>
        <v/>
      </c>
      <c r="W237" s="27">
        <f t="shared" si="20"/>
        <v>0</v>
      </c>
      <c r="X237" s="28"/>
      <c r="Y237" s="27"/>
    </row>
    <row r="238" spans="1:25" ht="11.25" customHeight="1">
      <c r="A238" s="34"/>
      <c r="B238" s="24"/>
      <c r="C238" s="24"/>
      <c r="D238" s="24"/>
      <c r="E238" s="24"/>
      <c r="F238" s="25"/>
      <c r="G238" s="25"/>
      <c r="H238" s="25"/>
      <c r="I238" s="25"/>
      <c r="J238" s="24"/>
      <c r="K238" s="25"/>
      <c r="L238" s="25"/>
      <c r="M238" s="25"/>
      <c r="N238" s="25"/>
      <c r="O238" s="25"/>
      <c r="P238" s="25"/>
      <c r="Q238" s="25"/>
      <c r="R238" s="24"/>
      <c r="S238" s="26">
        <f t="shared" si="19"/>
        <v>0</v>
      </c>
      <c r="T238" s="26">
        <f>COUNTIF($V$4:V238,V238)</f>
        <v>195</v>
      </c>
      <c r="U238" s="26" t="str">
        <f>IF(T238=1,COUNTIF($T$4:T238,1),"")</f>
        <v/>
      </c>
      <c r="V238" s="27" t="str">
        <f t="shared" si="21"/>
        <v/>
      </c>
      <c r="W238" s="27">
        <f t="shared" si="20"/>
        <v>0</v>
      </c>
      <c r="X238" s="28"/>
      <c r="Y238" s="27"/>
    </row>
    <row r="239" spans="1:25" ht="11.25" customHeight="1">
      <c r="A239" s="34"/>
      <c r="B239" s="24"/>
      <c r="C239" s="24"/>
      <c r="D239" s="24"/>
      <c r="E239" s="24"/>
      <c r="F239" s="25"/>
      <c r="G239" s="25"/>
      <c r="H239" s="25"/>
      <c r="I239" s="25"/>
      <c r="J239" s="24"/>
      <c r="K239" s="25"/>
      <c r="L239" s="25"/>
      <c r="M239" s="25"/>
      <c r="N239" s="25"/>
      <c r="O239" s="25"/>
      <c r="P239" s="25"/>
      <c r="Q239" s="25"/>
      <c r="R239" s="24"/>
      <c r="S239" s="26">
        <f t="shared" si="19"/>
        <v>0</v>
      </c>
      <c r="T239" s="26">
        <f>COUNTIF($V$4:V239,V239)</f>
        <v>196</v>
      </c>
      <c r="U239" s="26" t="str">
        <f>IF(T239=1,COUNTIF($T$4:T239,1),"")</f>
        <v/>
      </c>
      <c r="V239" s="27" t="str">
        <f t="shared" si="21"/>
        <v/>
      </c>
      <c r="W239" s="27">
        <f t="shared" si="20"/>
        <v>0</v>
      </c>
      <c r="X239" s="28"/>
      <c r="Y239" s="27"/>
    </row>
    <row r="240" spans="1:25" ht="11.25" customHeight="1">
      <c r="A240" s="34"/>
      <c r="B240" s="24"/>
      <c r="C240" s="24"/>
      <c r="D240" s="24"/>
      <c r="E240" s="24"/>
      <c r="F240" s="25"/>
      <c r="G240" s="25"/>
      <c r="H240" s="25"/>
      <c r="I240" s="25"/>
      <c r="J240" s="24"/>
      <c r="K240" s="25"/>
      <c r="L240" s="25"/>
      <c r="M240" s="25"/>
      <c r="N240" s="25"/>
      <c r="O240" s="25"/>
      <c r="P240" s="25"/>
      <c r="Q240" s="25"/>
      <c r="R240" s="24"/>
      <c r="S240" s="26">
        <f t="shared" si="19"/>
        <v>0</v>
      </c>
      <c r="T240" s="26">
        <f>COUNTIF($V$4:V240,V240)</f>
        <v>197</v>
      </c>
      <c r="U240" s="26" t="str">
        <f>IF(T240=1,COUNTIF($T$4:T240,1),"")</f>
        <v/>
      </c>
      <c r="V240" s="27" t="str">
        <f t="shared" si="21"/>
        <v/>
      </c>
      <c r="W240" s="27">
        <f t="shared" si="20"/>
        <v>0</v>
      </c>
      <c r="X240" s="28"/>
      <c r="Y240" s="27"/>
    </row>
    <row r="241" spans="1:25" ht="11.25" customHeight="1">
      <c r="A241" s="34"/>
      <c r="B241" s="24"/>
      <c r="C241" s="24"/>
      <c r="D241" s="24"/>
      <c r="E241" s="24"/>
      <c r="F241" s="25"/>
      <c r="G241" s="25"/>
      <c r="H241" s="25"/>
      <c r="I241" s="25"/>
      <c r="J241" s="24"/>
      <c r="K241" s="25"/>
      <c r="L241" s="25"/>
      <c r="M241" s="25"/>
      <c r="N241" s="25"/>
      <c r="O241" s="25"/>
      <c r="P241" s="25"/>
      <c r="Q241" s="25"/>
      <c r="R241" s="24"/>
      <c r="S241" s="26">
        <f t="shared" si="19"/>
        <v>0</v>
      </c>
      <c r="T241" s="26">
        <f>COUNTIF($V$4:V241,V241)</f>
        <v>198</v>
      </c>
      <c r="U241" s="26" t="str">
        <f>IF(T241=1,COUNTIF($T$4:T241,1),"")</f>
        <v/>
      </c>
      <c r="V241" s="27" t="str">
        <f t="shared" si="21"/>
        <v/>
      </c>
      <c r="W241" s="27">
        <f t="shared" si="20"/>
        <v>0</v>
      </c>
      <c r="X241" s="28"/>
      <c r="Y241" s="27"/>
    </row>
    <row r="242" spans="1:25" ht="11.25" customHeight="1">
      <c r="A242" s="34"/>
      <c r="B242" s="24"/>
      <c r="C242" s="24"/>
      <c r="D242" s="24"/>
      <c r="E242" s="24"/>
      <c r="F242" s="25"/>
      <c r="G242" s="25"/>
      <c r="H242" s="25"/>
      <c r="I242" s="25"/>
      <c r="J242" s="25"/>
      <c r="K242" s="25"/>
      <c r="L242" s="25"/>
      <c r="M242" s="25"/>
      <c r="N242" s="25"/>
      <c r="O242" s="25"/>
      <c r="P242" s="25"/>
      <c r="Q242" s="25"/>
      <c r="R242" s="24"/>
      <c r="S242" s="26">
        <f t="shared" si="19"/>
        <v>0</v>
      </c>
      <c r="T242" s="26">
        <f>COUNTIF($V$4:V242,V242)</f>
        <v>199</v>
      </c>
      <c r="U242" s="26" t="str">
        <f>IF(T242=1,COUNTIF($T$4:T242,1),"")</f>
        <v/>
      </c>
      <c r="V242" s="27" t="str">
        <f t="shared" si="21"/>
        <v/>
      </c>
      <c r="W242" s="27">
        <f t="shared" si="20"/>
        <v>0</v>
      </c>
      <c r="X242" s="28"/>
      <c r="Y242" s="27"/>
    </row>
    <row r="243" spans="1:25" ht="11.25" customHeight="1">
      <c r="A243" s="34"/>
      <c r="B243" s="24"/>
      <c r="C243" s="24"/>
      <c r="D243" s="24"/>
      <c r="E243" s="24"/>
      <c r="F243" s="25"/>
      <c r="G243" s="25"/>
      <c r="H243" s="25"/>
      <c r="I243" s="25"/>
      <c r="J243" s="24"/>
      <c r="K243" s="25"/>
      <c r="L243" s="25"/>
      <c r="M243" s="25"/>
      <c r="N243" s="25"/>
      <c r="O243" s="25"/>
      <c r="P243" s="25"/>
      <c r="Q243" s="25"/>
      <c r="R243" s="24"/>
      <c r="S243" s="26">
        <f t="shared" si="19"/>
        <v>0</v>
      </c>
      <c r="T243" s="26">
        <f>COUNTIF($V$4:V243,V243)</f>
        <v>200</v>
      </c>
      <c r="U243" s="26" t="str">
        <f>IF(T243=1,COUNTIF($T$4:T243,1),"")</f>
        <v/>
      </c>
      <c r="V243" s="27" t="str">
        <f t="shared" si="21"/>
        <v/>
      </c>
      <c r="W243" s="27">
        <f t="shared" si="20"/>
        <v>0</v>
      </c>
      <c r="X243" s="28"/>
      <c r="Y243" s="27"/>
    </row>
    <row r="244" spans="1:25" ht="11.25" customHeight="1">
      <c r="A244" s="34"/>
      <c r="B244" s="24"/>
      <c r="C244" s="24"/>
      <c r="D244" s="24"/>
      <c r="E244" s="24"/>
      <c r="F244" s="25"/>
      <c r="G244" s="25"/>
      <c r="H244" s="25"/>
      <c r="I244" s="25"/>
      <c r="J244" s="25"/>
      <c r="K244" s="25"/>
      <c r="L244" s="25"/>
      <c r="M244" s="25"/>
      <c r="N244" s="25"/>
      <c r="O244" s="25"/>
      <c r="P244" s="25"/>
      <c r="Q244" s="25"/>
      <c r="R244" s="24"/>
      <c r="S244" s="26">
        <f t="shared" si="19"/>
        <v>0</v>
      </c>
      <c r="T244" s="26">
        <f>COUNTIF($V$4:V244,V244)</f>
        <v>201</v>
      </c>
      <c r="U244" s="26" t="str">
        <f>IF(T244=1,COUNTIF($T$4:T244,1),"")</f>
        <v/>
      </c>
      <c r="V244" s="27" t="str">
        <f t="shared" si="21"/>
        <v/>
      </c>
      <c r="W244" s="27">
        <f t="shared" si="20"/>
        <v>0</v>
      </c>
      <c r="X244" s="28"/>
      <c r="Y244" s="27"/>
    </row>
    <row r="245" spans="1:25" ht="11.25" customHeight="1">
      <c r="A245" s="34"/>
      <c r="B245" s="24"/>
      <c r="C245" s="24"/>
      <c r="D245" s="24"/>
      <c r="E245" s="24"/>
      <c r="F245" s="25"/>
      <c r="G245" s="25"/>
      <c r="H245" s="25"/>
      <c r="I245" s="25"/>
      <c r="J245" s="24"/>
      <c r="K245" s="25"/>
      <c r="L245" s="25"/>
      <c r="M245" s="25"/>
      <c r="N245" s="25"/>
      <c r="O245" s="25"/>
      <c r="P245" s="25"/>
      <c r="Q245" s="25"/>
      <c r="R245" s="24"/>
      <c r="S245" s="26">
        <f t="shared" si="19"/>
        <v>0</v>
      </c>
      <c r="T245" s="26">
        <f>COUNTIF($V$4:V245,V245)</f>
        <v>202</v>
      </c>
      <c r="U245" s="26" t="str">
        <f>IF(T245=1,COUNTIF($T$4:T245,1),"")</f>
        <v/>
      </c>
      <c r="V245" s="27" t="str">
        <f t="shared" si="21"/>
        <v/>
      </c>
      <c r="W245" s="27">
        <f t="shared" si="20"/>
        <v>0</v>
      </c>
      <c r="X245" s="28"/>
      <c r="Y245" s="27"/>
    </row>
    <row r="246" spans="1:25" ht="11.25" customHeight="1">
      <c r="A246" s="34"/>
      <c r="B246" s="24"/>
      <c r="C246" s="24"/>
      <c r="D246" s="24"/>
      <c r="E246" s="24"/>
      <c r="F246" s="25"/>
      <c r="G246" s="25"/>
      <c r="H246" s="25"/>
      <c r="I246" s="25"/>
      <c r="J246" s="24"/>
      <c r="K246" s="25"/>
      <c r="L246" s="25"/>
      <c r="M246" s="25"/>
      <c r="N246" s="25"/>
      <c r="O246" s="25"/>
      <c r="P246" s="25"/>
      <c r="Q246" s="25"/>
      <c r="R246" s="24"/>
      <c r="S246" s="26">
        <f t="shared" si="19"/>
        <v>0</v>
      </c>
      <c r="T246" s="26">
        <f>COUNTIF($V$4:V246,V246)</f>
        <v>203</v>
      </c>
      <c r="U246" s="26" t="str">
        <f>IF(T246=1,COUNTIF($T$4:T246,1),"")</f>
        <v/>
      </c>
      <c r="V246" s="27" t="str">
        <f t="shared" si="21"/>
        <v/>
      </c>
      <c r="W246" s="27">
        <f t="shared" si="20"/>
        <v>0</v>
      </c>
      <c r="X246" s="28"/>
      <c r="Y246" s="27"/>
    </row>
    <row r="247" spans="1:25" ht="11.25" customHeight="1">
      <c r="A247" s="34"/>
      <c r="B247" s="24"/>
      <c r="C247" s="24"/>
      <c r="D247" s="24"/>
      <c r="E247" s="24"/>
      <c r="F247" s="25"/>
      <c r="G247" s="25"/>
      <c r="H247" s="25"/>
      <c r="I247" s="25"/>
      <c r="J247" s="24"/>
      <c r="K247" s="25"/>
      <c r="L247" s="25"/>
      <c r="M247" s="25"/>
      <c r="N247" s="25"/>
      <c r="O247" s="25"/>
      <c r="P247" s="25"/>
      <c r="Q247" s="25"/>
      <c r="R247" s="24"/>
      <c r="S247" s="26">
        <f t="shared" si="19"/>
        <v>0</v>
      </c>
      <c r="T247" s="26">
        <f>COUNTIF($V$4:V247,V247)</f>
        <v>204</v>
      </c>
      <c r="U247" s="26" t="str">
        <f>IF(T247=1,COUNTIF($T$4:T247,1),"")</f>
        <v/>
      </c>
      <c r="V247" s="27" t="str">
        <f t="shared" si="21"/>
        <v/>
      </c>
      <c r="W247" s="27">
        <f t="shared" si="20"/>
        <v>0</v>
      </c>
      <c r="X247" s="28"/>
      <c r="Y247" s="27"/>
    </row>
    <row r="248" spans="1:25">
      <c r="A248" s="34"/>
      <c r="B248" s="24"/>
      <c r="C248" s="24"/>
      <c r="D248" s="24"/>
      <c r="E248" s="24"/>
      <c r="F248" s="25"/>
      <c r="G248" s="25"/>
      <c r="H248" s="25"/>
      <c r="I248" s="25"/>
      <c r="J248" s="24"/>
      <c r="K248" s="25"/>
      <c r="L248" s="25"/>
      <c r="M248" s="25"/>
      <c r="N248" s="25"/>
      <c r="O248" s="25"/>
      <c r="P248" s="25"/>
      <c r="Q248" s="25"/>
      <c r="R248" s="24"/>
      <c r="S248" s="26">
        <f t="shared" si="19"/>
        <v>0</v>
      </c>
      <c r="T248" s="26">
        <f>COUNTIF($V$4:V248,V248)</f>
        <v>205</v>
      </c>
      <c r="U248" s="26" t="str">
        <f>IF(T248=1,COUNTIF($T$4:T248,1),"")</f>
        <v/>
      </c>
      <c r="V248" s="27" t="str">
        <f t="shared" si="21"/>
        <v/>
      </c>
      <c r="W248" s="27">
        <f t="shared" si="20"/>
        <v>0</v>
      </c>
      <c r="X248" s="28"/>
      <c r="Y248" s="27"/>
    </row>
    <row r="249" spans="1:25">
      <c r="A249" s="34"/>
      <c r="B249" s="24"/>
      <c r="C249" s="24"/>
      <c r="D249" s="24"/>
      <c r="E249" s="24"/>
      <c r="F249" s="25"/>
      <c r="G249" s="25"/>
      <c r="H249" s="25"/>
      <c r="I249" s="25"/>
      <c r="J249" s="24"/>
      <c r="K249" s="25"/>
      <c r="L249" s="25"/>
      <c r="M249" s="25"/>
      <c r="N249" s="25"/>
      <c r="O249" s="25"/>
      <c r="P249" s="25"/>
      <c r="Q249" s="25"/>
      <c r="R249" s="24"/>
      <c r="S249" s="26">
        <f t="shared" si="19"/>
        <v>0</v>
      </c>
      <c r="T249" s="26">
        <f>COUNTIF($V$4:V249,V249)</f>
        <v>206</v>
      </c>
      <c r="U249" s="26" t="str">
        <f>IF(T249=1,COUNTIF($T$4:T249,1),"")</f>
        <v/>
      </c>
      <c r="V249" s="27" t="str">
        <f t="shared" si="21"/>
        <v/>
      </c>
      <c r="W249" s="27">
        <f t="shared" si="20"/>
        <v>0</v>
      </c>
      <c r="X249" s="28"/>
      <c r="Y249" s="27"/>
    </row>
    <row r="250" spans="1:25" ht="11.25" customHeight="1">
      <c r="A250" s="34"/>
      <c r="B250" s="24"/>
      <c r="C250" s="24"/>
      <c r="D250" s="24"/>
      <c r="E250" s="24"/>
      <c r="F250" s="25"/>
      <c r="G250" s="25"/>
      <c r="H250" s="25"/>
      <c r="I250" s="25"/>
      <c r="J250" s="24"/>
      <c r="K250" s="25"/>
      <c r="L250" s="25"/>
      <c r="M250" s="25"/>
      <c r="N250" s="25"/>
      <c r="O250" s="25"/>
      <c r="P250" s="25"/>
      <c r="Q250" s="25"/>
      <c r="R250" s="24"/>
      <c r="S250" s="26">
        <f t="shared" si="19"/>
        <v>0</v>
      </c>
      <c r="T250" s="26">
        <f>COUNTIF($V$4:V250,V250)</f>
        <v>207</v>
      </c>
      <c r="U250" s="26" t="str">
        <f>IF(T250=1,COUNTIF($T$4:T250,1),"")</f>
        <v/>
      </c>
      <c r="V250" s="27" t="str">
        <f t="shared" si="21"/>
        <v/>
      </c>
      <c r="W250" s="27">
        <f t="shared" si="20"/>
        <v>0</v>
      </c>
      <c r="X250" s="28"/>
      <c r="Y250" s="27"/>
    </row>
    <row r="251" spans="1:25" ht="11.25" customHeight="1">
      <c r="A251" s="34"/>
      <c r="B251" s="24"/>
      <c r="C251" s="24"/>
      <c r="D251" s="24"/>
      <c r="E251" s="24"/>
      <c r="F251" s="25"/>
      <c r="G251" s="25"/>
      <c r="H251" s="25"/>
      <c r="I251" s="25"/>
      <c r="J251" s="24"/>
      <c r="K251" s="25"/>
      <c r="L251" s="25"/>
      <c r="M251" s="25"/>
      <c r="N251" s="25"/>
      <c r="O251" s="25"/>
      <c r="P251" s="25"/>
      <c r="Q251" s="25"/>
      <c r="R251" s="24"/>
      <c r="S251" s="26">
        <f t="shared" si="19"/>
        <v>0</v>
      </c>
      <c r="T251" s="26">
        <f>COUNTIF($V$4:V251,V251)</f>
        <v>208</v>
      </c>
      <c r="U251" s="26" t="str">
        <f>IF(T251=1,COUNTIF($T$4:T251,1),"")</f>
        <v/>
      </c>
      <c r="V251" s="27" t="str">
        <f t="shared" si="21"/>
        <v/>
      </c>
      <c r="W251" s="27">
        <f t="shared" si="20"/>
        <v>0</v>
      </c>
      <c r="X251" s="28"/>
      <c r="Y251" s="27"/>
    </row>
    <row r="252" spans="1:25" ht="11.25" customHeight="1">
      <c r="A252" s="34"/>
      <c r="B252" s="24"/>
      <c r="C252" s="24"/>
      <c r="D252" s="24"/>
      <c r="E252" s="24"/>
      <c r="F252" s="25"/>
      <c r="G252" s="25"/>
      <c r="H252" s="25"/>
      <c r="I252" s="25"/>
      <c r="J252" s="24"/>
      <c r="K252" s="25"/>
      <c r="L252" s="25"/>
      <c r="M252" s="25"/>
      <c r="N252" s="25"/>
      <c r="O252" s="25"/>
      <c r="P252" s="25"/>
      <c r="Q252" s="25"/>
      <c r="R252" s="24"/>
      <c r="S252" s="26">
        <f t="shared" si="19"/>
        <v>0</v>
      </c>
      <c r="T252" s="26">
        <f>COUNTIF($V$4:V252,V252)</f>
        <v>209</v>
      </c>
      <c r="U252" s="26" t="str">
        <f>IF(T252=1,COUNTIF($T$4:T252,1),"")</f>
        <v/>
      </c>
      <c r="V252" s="27" t="str">
        <f t="shared" si="21"/>
        <v/>
      </c>
      <c r="W252" s="27">
        <f t="shared" si="20"/>
        <v>0</v>
      </c>
      <c r="X252" s="28"/>
      <c r="Y252" s="27"/>
    </row>
    <row r="253" spans="1:25" ht="11.25" customHeight="1">
      <c r="A253" s="34"/>
      <c r="B253" s="24"/>
      <c r="C253" s="24"/>
      <c r="D253" s="24"/>
      <c r="E253" s="24"/>
      <c r="F253" s="25"/>
      <c r="G253" s="25"/>
      <c r="H253" s="25"/>
      <c r="I253" s="25"/>
      <c r="J253" s="24"/>
      <c r="K253" s="25"/>
      <c r="L253" s="25"/>
      <c r="M253" s="25"/>
      <c r="N253" s="25"/>
      <c r="O253" s="25"/>
      <c r="P253" s="25"/>
      <c r="Q253" s="25"/>
      <c r="R253" s="24"/>
      <c r="S253" s="26">
        <f t="shared" si="19"/>
        <v>0</v>
      </c>
      <c r="T253" s="26">
        <f>COUNTIF($V$4:V253,V253)</f>
        <v>210</v>
      </c>
      <c r="U253" s="26" t="str">
        <f>IF(T253=1,COUNTIF($T$4:T253,1),"")</f>
        <v/>
      </c>
      <c r="V253" s="27" t="str">
        <f t="shared" si="21"/>
        <v/>
      </c>
      <c r="W253" s="27">
        <f t="shared" si="20"/>
        <v>0</v>
      </c>
      <c r="X253" s="28"/>
      <c r="Y253" s="27"/>
    </row>
    <row r="254" spans="1:25" ht="11.25" customHeight="1">
      <c r="A254" s="34"/>
      <c r="B254" s="24"/>
      <c r="C254" s="24"/>
      <c r="D254" s="24"/>
      <c r="E254" s="24"/>
      <c r="F254" s="25"/>
      <c r="G254" s="25"/>
      <c r="H254" s="25"/>
      <c r="I254" s="25"/>
      <c r="J254" s="24"/>
      <c r="K254" s="25"/>
      <c r="L254" s="25"/>
      <c r="M254" s="25"/>
      <c r="N254" s="25"/>
      <c r="O254" s="25"/>
      <c r="P254" s="25"/>
      <c r="Q254" s="25"/>
      <c r="R254" s="24"/>
      <c r="S254" s="26">
        <f t="shared" si="19"/>
        <v>0</v>
      </c>
      <c r="T254" s="26">
        <f>COUNTIF($V$4:V254,V254)</f>
        <v>211</v>
      </c>
      <c r="U254" s="26" t="str">
        <f>IF(T254=1,COUNTIF($T$4:T254,1),"")</f>
        <v/>
      </c>
      <c r="V254" s="27" t="str">
        <f t="shared" si="21"/>
        <v/>
      </c>
      <c r="W254" s="27">
        <f t="shared" si="20"/>
        <v>0</v>
      </c>
      <c r="X254" s="28"/>
      <c r="Y254" s="27"/>
    </row>
    <row r="255" spans="1:25" ht="11.25" customHeight="1">
      <c r="A255" s="34"/>
      <c r="B255" s="24"/>
      <c r="C255" s="24"/>
      <c r="D255" s="24"/>
      <c r="E255" s="24"/>
      <c r="F255" s="25"/>
      <c r="G255" s="25"/>
      <c r="H255" s="25"/>
      <c r="I255" s="25"/>
      <c r="J255" s="25"/>
      <c r="K255" s="25"/>
      <c r="L255" s="25"/>
      <c r="M255" s="25"/>
      <c r="N255" s="25"/>
      <c r="O255" s="25"/>
      <c r="P255" s="25"/>
      <c r="Q255" s="25"/>
      <c r="R255" s="24"/>
      <c r="S255" s="26">
        <f t="shared" si="19"/>
        <v>0</v>
      </c>
      <c r="T255" s="26">
        <f>COUNTIF($V$4:V255,V255)</f>
        <v>212</v>
      </c>
      <c r="U255" s="26" t="str">
        <f>IF(T255=1,COUNTIF($T$4:T255,1),"")</f>
        <v/>
      </c>
      <c r="V255" s="27" t="str">
        <f t="shared" si="21"/>
        <v/>
      </c>
      <c r="W255" s="27">
        <f t="shared" si="20"/>
        <v>0</v>
      </c>
      <c r="X255" s="28"/>
      <c r="Y255" s="27"/>
    </row>
    <row r="256" spans="1:25" ht="11.25" customHeight="1">
      <c r="A256" s="34"/>
      <c r="B256" s="24"/>
      <c r="C256" s="24"/>
      <c r="D256" s="24"/>
      <c r="E256" s="24"/>
      <c r="F256" s="25"/>
      <c r="G256" s="25"/>
      <c r="H256" s="25"/>
      <c r="I256" s="25"/>
      <c r="J256" s="25"/>
      <c r="K256" s="25"/>
      <c r="L256" s="25"/>
      <c r="M256" s="25"/>
      <c r="N256" s="25"/>
      <c r="O256" s="25"/>
      <c r="P256" s="25"/>
      <c r="Q256" s="25"/>
      <c r="R256" s="24"/>
      <c r="S256" s="26">
        <f t="shared" si="19"/>
        <v>0</v>
      </c>
      <c r="T256" s="26">
        <f>COUNTIF($V$4:V256,V256)</f>
        <v>213</v>
      </c>
      <c r="U256" s="26" t="str">
        <f>IF(T256=1,COUNTIF($T$4:T256,1),"")</f>
        <v/>
      </c>
      <c r="V256" s="27" t="str">
        <f t="shared" si="21"/>
        <v/>
      </c>
      <c r="W256" s="27">
        <f t="shared" si="20"/>
        <v>0</v>
      </c>
      <c r="X256" s="28"/>
      <c r="Y256" s="27"/>
    </row>
    <row r="257" spans="1:25" ht="11.25" customHeight="1">
      <c r="A257" s="34"/>
      <c r="B257" s="24"/>
      <c r="C257" s="24"/>
      <c r="D257" s="24"/>
      <c r="E257" s="24"/>
      <c r="F257" s="25"/>
      <c r="G257" s="25"/>
      <c r="H257" s="25"/>
      <c r="I257" s="25"/>
      <c r="J257" s="25"/>
      <c r="K257" s="25"/>
      <c r="L257" s="25"/>
      <c r="M257" s="25"/>
      <c r="N257" s="25"/>
      <c r="O257" s="25"/>
      <c r="P257" s="25"/>
      <c r="Q257" s="25"/>
      <c r="R257" s="24"/>
      <c r="S257" s="26">
        <f t="shared" si="19"/>
        <v>0</v>
      </c>
      <c r="T257" s="26">
        <f>COUNTIF($V$4:V257,V257)</f>
        <v>214</v>
      </c>
      <c r="U257" s="26" t="str">
        <f>IF(T257=1,COUNTIF($T$4:T257,1),"")</f>
        <v/>
      </c>
      <c r="V257" s="27" t="str">
        <f t="shared" si="21"/>
        <v/>
      </c>
      <c r="W257" s="27">
        <f t="shared" si="20"/>
        <v>0</v>
      </c>
      <c r="X257" s="28"/>
      <c r="Y257" s="27"/>
    </row>
    <row r="258" spans="1:25" ht="11.25" customHeight="1">
      <c r="A258" s="34"/>
      <c r="B258" s="24"/>
      <c r="C258" s="24"/>
      <c r="D258" s="24"/>
      <c r="E258" s="24"/>
      <c r="F258" s="25"/>
      <c r="G258" s="25"/>
      <c r="H258" s="25"/>
      <c r="I258" s="25"/>
      <c r="J258" s="24"/>
      <c r="K258" s="25"/>
      <c r="L258" s="25"/>
      <c r="M258" s="25"/>
      <c r="N258" s="25"/>
      <c r="O258" s="25"/>
      <c r="P258" s="25"/>
      <c r="Q258" s="25"/>
      <c r="R258" s="24"/>
      <c r="S258" s="26">
        <f t="shared" si="19"/>
        <v>0</v>
      </c>
      <c r="T258" s="26">
        <f>COUNTIF($V$4:V258,V258)</f>
        <v>215</v>
      </c>
      <c r="U258" s="26" t="str">
        <f>IF(T258=1,COUNTIF($T$4:T258,1),"")</f>
        <v/>
      </c>
      <c r="V258" s="27" t="str">
        <f t="shared" si="21"/>
        <v/>
      </c>
      <c r="W258" s="27">
        <f t="shared" si="20"/>
        <v>0</v>
      </c>
      <c r="X258" s="28"/>
      <c r="Y258" s="27"/>
    </row>
    <row r="259" spans="1:25" ht="11.25" customHeight="1">
      <c r="A259" s="34"/>
      <c r="B259" s="24"/>
      <c r="C259" s="24"/>
      <c r="D259" s="24"/>
      <c r="E259" s="24"/>
      <c r="F259" s="25"/>
      <c r="G259" s="25"/>
      <c r="H259" s="25"/>
      <c r="I259" s="25"/>
      <c r="J259" s="24"/>
      <c r="K259" s="25"/>
      <c r="L259" s="25"/>
      <c r="M259" s="25"/>
      <c r="N259" s="25"/>
      <c r="O259" s="25"/>
      <c r="P259" s="25"/>
      <c r="Q259" s="25"/>
      <c r="R259" s="24"/>
      <c r="S259" s="26">
        <f t="shared" si="19"/>
        <v>0</v>
      </c>
      <c r="T259" s="26">
        <f>COUNTIF($V$4:V259,V259)</f>
        <v>216</v>
      </c>
      <c r="U259" s="26" t="str">
        <f>IF(T259=1,COUNTIF($T$4:T259,1),"")</f>
        <v/>
      </c>
      <c r="V259" s="27" t="str">
        <f t="shared" si="21"/>
        <v/>
      </c>
      <c r="W259" s="27">
        <f t="shared" si="20"/>
        <v>0</v>
      </c>
      <c r="X259" s="28"/>
      <c r="Y259" s="27"/>
    </row>
    <row r="260" spans="1:25" ht="11.25" customHeight="1">
      <c r="A260" s="34"/>
      <c r="B260" s="24"/>
      <c r="C260" s="24"/>
      <c r="D260" s="24"/>
      <c r="E260" s="24"/>
      <c r="F260" s="25"/>
      <c r="G260" s="25"/>
      <c r="H260" s="25"/>
      <c r="I260" s="25"/>
      <c r="J260" s="24"/>
      <c r="K260" s="25"/>
      <c r="L260" s="25"/>
      <c r="M260" s="25"/>
      <c r="N260" s="25"/>
      <c r="O260" s="25"/>
      <c r="P260" s="25"/>
      <c r="Q260" s="25"/>
      <c r="R260" s="24"/>
      <c r="S260" s="26">
        <f t="shared" ref="S260:S323" si="22">A260</f>
        <v>0</v>
      </c>
      <c r="T260" s="26">
        <f>COUNTIF($V$4:V260,V260)</f>
        <v>217</v>
      </c>
      <c r="U260" s="26" t="str">
        <f>IF(T260=1,COUNTIF($T$4:T260,1),"")</f>
        <v/>
      </c>
      <c r="V260" s="27" t="str">
        <f t="shared" si="21"/>
        <v/>
      </c>
      <c r="W260" s="27">
        <f t="shared" ref="W260:W323" si="23">$F260</f>
        <v>0</v>
      </c>
      <c r="X260" s="28"/>
      <c r="Y260" s="27"/>
    </row>
    <row r="261" spans="1:25" ht="11.25" customHeight="1">
      <c r="A261" s="34"/>
      <c r="B261" s="24"/>
      <c r="C261" s="24"/>
      <c r="D261" s="24"/>
      <c r="E261" s="24"/>
      <c r="F261" s="25"/>
      <c r="G261" s="25"/>
      <c r="H261" s="25"/>
      <c r="I261" s="25"/>
      <c r="J261" s="24"/>
      <c r="K261" s="25"/>
      <c r="L261" s="25"/>
      <c r="M261" s="25"/>
      <c r="N261" s="25"/>
      <c r="O261" s="25"/>
      <c r="P261" s="25"/>
      <c r="Q261" s="25"/>
      <c r="R261" s="24"/>
      <c r="S261" s="26">
        <f t="shared" si="22"/>
        <v>0</v>
      </c>
      <c r="T261" s="26">
        <f>COUNTIF($V$4:V261,V261)</f>
        <v>218</v>
      </c>
      <c r="U261" s="26" t="str">
        <f>IF(T261=1,COUNTIF($T$4:T261,1),"")</f>
        <v/>
      </c>
      <c r="V261" s="27" t="str">
        <f t="shared" ref="V261:V324" si="24">$E261&amp;$C261</f>
        <v/>
      </c>
      <c r="W261" s="27">
        <f t="shared" si="23"/>
        <v>0</v>
      </c>
      <c r="X261" s="28"/>
      <c r="Y261" s="27"/>
    </row>
    <row r="262" spans="1:25" ht="11.25" customHeight="1">
      <c r="A262" s="34"/>
      <c r="B262" s="24"/>
      <c r="C262" s="24"/>
      <c r="D262" s="24"/>
      <c r="E262" s="24"/>
      <c r="F262" s="25"/>
      <c r="G262" s="25"/>
      <c r="H262" s="25"/>
      <c r="I262" s="25"/>
      <c r="J262" s="24"/>
      <c r="K262" s="25"/>
      <c r="L262" s="25"/>
      <c r="M262" s="25"/>
      <c r="N262" s="25"/>
      <c r="O262" s="25"/>
      <c r="P262" s="25"/>
      <c r="Q262" s="25"/>
      <c r="R262" s="24"/>
      <c r="S262" s="26">
        <f t="shared" si="22"/>
        <v>0</v>
      </c>
      <c r="T262" s="26">
        <f>COUNTIF($V$4:V262,V262)</f>
        <v>219</v>
      </c>
      <c r="U262" s="26" t="str">
        <f>IF(T262=1,COUNTIF($T$4:T262,1),"")</f>
        <v/>
      </c>
      <c r="V262" s="27" t="str">
        <f t="shared" si="24"/>
        <v/>
      </c>
      <c r="W262" s="27">
        <f t="shared" si="23"/>
        <v>0</v>
      </c>
      <c r="X262" s="28"/>
      <c r="Y262" s="27"/>
    </row>
    <row r="263" spans="1:25" ht="11.25" customHeight="1">
      <c r="A263" s="34"/>
      <c r="B263" s="24"/>
      <c r="C263" s="24"/>
      <c r="D263" s="24"/>
      <c r="E263" s="24"/>
      <c r="F263" s="25"/>
      <c r="G263" s="25"/>
      <c r="H263" s="25"/>
      <c r="I263" s="25"/>
      <c r="J263" s="24"/>
      <c r="K263" s="25"/>
      <c r="L263" s="25"/>
      <c r="M263" s="25"/>
      <c r="N263" s="25"/>
      <c r="O263" s="25"/>
      <c r="P263" s="25"/>
      <c r="Q263" s="25"/>
      <c r="R263" s="24"/>
      <c r="S263" s="26">
        <f t="shared" si="22"/>
        <v>0</v>
      </c>
      <c r="T263" s="26">
        <f>COUNTIF($V$4:V263,V263)</f>
        <v>220</v>
      </c>
      <c r="U263" s="26" t="str">
        <f>IF(T263=1,COUNTIF($T$4:T263,1),"")</f>
        <v/>
      </c>
      <c r="V263" s="27" t="str">
        <f t="shared" si="24"/>
        <v/>
      </c>
      <c r="W263" s="27">
        <f t="shared" si="23"/>
        <v>0</v>
      </c>
      <c r="X263" s="28"/>
      <c r="Y263" s="27"/>
    </row>
    <row r="264" spans="1:25" ht="11.25" customHeight="1">
      <c r="A264" s="34"/>
      <c r="B264" s="24"/>
      <c r="C264" s="24"/>
      <c r="D264" s="24"/>
      <c r="E264" s="24"/>
      <c r="F264" s="25"/>
      <c r="G264" s="25"/>
      <c r="H264" s="25"/>
      <c r="I264" s="25"/>
      <c r="J264" s="24"/>
      <c r="K264" s="25"/>
      <c r="L264" s="25"/>
      <c r="M264" s="25"/>
      <c r="N264" s="25"/>
      <c r="O264" s="25"/>
      <c r="P264" s="25"/>
      <c r="Q264" s="25"/>
      <c r="R264" s="24"/>
      <c r="S264" s="26">
        <f t="shared" si="22"/>
        <v>0</v>
      </c>
      <c r="T264" s="26">
        <f>COUNTIF($V$4:V264,V264)</f>
        <v>221</v>
      </c>
      <c r="U264" s="26" t="str">
        <f>IF(T264=1,COUNTIF($T$4:T264,1),"")</f>
        <v/>
      </c>
      <c r="V264" s="27" t="str">
        <f t="shared" si="24"/>
        <v/>
      </c>
      <c r="W264" s="27">
        <f t="shared" si="23"/>
        <v>0</v>
      </c>
      <c r="X264" s="28"/>
      <c r="Y264" s="27"/>
    </row>
    <row r="265" spans="1:25" ht="11.25" customHeight="1">
      <c r="A265" s="34"/>
      <c r="B265" s="24"/>
      <c r="C265" s="24"/>
      <c r="D265" s="24"/>
      <c r="E265" s="24"/>
      <c r="F265" s="25"/>
      <c r="G265" s="25"/>
      <c r="H265" s="25"/>
      <c r="I265" s="25"/>
      <c r="J265" s="24"/>
      <c r="K265" s="25"/>
      <c r="L265" s="25"/>
      <c r="M265" s="25"/>
      <c r="N265" s="25"/>
      <c r="O265" s="25"/>
      <c r="P265" s="25"/>
      <c r="Q265" s="25"/>
      <c r="R265" s="24"/>
      <c r="S265" s="26">
        <f t="shared" si="22"/>
        <v>0</v>
      </c>
      <c r="T265" s="26">
        <f>COUNTIF($V$4:V265,V265)</f>
        <v>222</v>
      </c>
      <c r="U265" s="26" t="str">
        <f>IF(T265=1,COUNTIF($T$4:T265,1),"")</f>
        <v/>
      </c>
      <c r="V265" s="27" t="str">
        <f t="shared" si="24"/>
        <v/>
      </c>
      <c r="W265" s="27">
        <f t="shared" si="23"/>
        <v>0</v>
      </c>
      <c r="X265" s="28"/>
      <c r="Y265" s="27"/>
    </row>
    <row r="266" spans="1:25" ht="11.25" customHeight="1">
      <c r="A266" s="34"/>
      <c r="B266" s="24"/>
      <c r="C266" s="24"/>
      <c r="D266" s="24"/>
      <c r="E266" s="24"/>
      <c r="F266" s="25"/>
      <c r="G266" s="25"/>
      <c r="H266" s="25"/>
      <c r="I266" s="25"/>
      <c r="J266" s="24"/>
      <c r="K266" s="25"/>
      <c r="L266" s="25"/>
      <c r="M266" s="25"/>
      <c r="N266" s="25"/>
      <c r="O266" s="25"/>
      <c r="P266" s="25"/>
      <c r="Q266" s="25"/>
      <c r="R266" s="24"/>
      <c r="S266" s="26">
        <f t="shared" si="22"/>
        <v>0</v>
      </c>
      <c r="T266" s="26">
        <f>COUNTIF($V$4:V266,V266)</f>
        <v>223</v>
      </c>
      <c r="U266" s="26" t="str">
        <f>IF(T266=1,COUNTIF($T$4:T266,1),"")</f>
        <v/>
      </c>
      <c r="V266" s="27" t="str">
        <f t="shared" si="24"/>
        <v/>
      </c>
      <c r="W266" s="27">
        <f t="shared" si="23"/>
        <v>0</v>
      </c>
      <c r="X266" s="28"/>
      <c r="Y266" s="27"/>
    </row>
    <row r="267" spans="1:25" ht="11.25" customHeight="1">
      <c r="A267" s="34"/>
      <c r="B267" s="24"/>
      <c r="C267" s="24"/>
      <c r="D267" s="24"/>
      <c r="E267" s="24"/>
      <c r="F267" s="25"/>
      <c r="G267" s="25"/>
      <c r="H267" s="25"/>
      <c r="I267" s="25"/>
      <c r="J267" s="24"/>
      <c r="K267" s="25"/>
      <c r="L267" s="25"/>
      <c r="M267" s="25"/>
      <c r="N267" s="25"/>
      <c r="O267" s="25"/>
      <c r="P267" s="25"/>
      <c r="Q267" s="25"/>
      <c r="R267" s="24"/>
      <c r="S267" s="26">
        <f t="shared" si="22"/>
        <v>0</v>
      </c>
      <c r="T267" s="26">
        <f>COUNTIF($V$4:V267,V267)</f>
        <v>224</v>
      </c>
      <c r="U267" s="26" t="str">
        <f>IF(T267=1,COUNTIF($T$4:T267,1),"")</f>
        <v/>
      </c>
      <c r="V267" s="27" t="str">
        <f t="shared" si="24"/>
        <v/>
      </c>
      <c r="W267" s="27">
        <f t="shared" si="23"/>
        <v>0</v>
      </c>
      <c r="X267" s="28"/>
      <c r="Y267" s="27"/>
    </row>
    <row r="268" spans="1:25" ht="11.25" customHeight="1">
      <c r="A268" s="34"/>
      <c r="B268" s="24"/>
      <c r="C268" s="24"/>
      <c r="D268" s="24"/>
      <c r="E268" s="24"/>
      <c r="F268" s="25"/>
      <c r="G268" s="25"/>
      <c r="H268" s="25"/>
      <c r="I268" s="25"/>
      <c r="J268" s="24"/>
      <c r="K268" s="25"/>
      <c r="L268" s="25"/>
      <c r="M268" s="25"/>
      <c r="N268" s="25"/>
      <c r="O268" s="25"/>
      <c r="P268" s="25"/>
      <c r="Q268" s="25"/>
      <c r="R268" s="24"/>
      <c r="S268" s="26">
        <f t="shared" si="22"/>
        <v>0</v>
      </c>
      <c r="T268" s="26">
        <f>COUNTIF($V$4:V268,V268)</f>
        <v>225</v>
      </c>
      <c r="U268" s="26" t="str">
        <f>IF(T268=1,COUNTIF($T$4:T268,1),"")</f>
        <v/>
      </c>
      <c r="V268" s="27" t="str">
        <f t="shared" si="24"/>
        <v/>
      </c>
      <c r="W268" s="27">
        <f t="shared" si="23"/>
        <v>0</v>
      </c>
      <c r="X268" s="28"/>
      <c r="Y268" s="27"/>
    </row>
    <row r="269" spans="1:25" ht="11.25" customHeight="1">
      <c r="A269" s="34"/>
      <c r="B269" s="24"/>
      <c r="C269" s="24"/>
      <c r="D269" s="24"/>
      <c r="E269" s="24"/>
      <c r="F269" s="25"/>
      <c r="G269" s="25"/>
      <c r="H269" s="25"/>
      <c r="I269" s="25"/>
      <c r="J269" s="24"/>
      <c r="K269" s="25"/>
      <c r="L269" s="25"/>
      <c r="M269" s="25"/>
      <c r="N269" s="25"/>
      <c r="O269" s="25"/>
      <c r="P269" s="25"/>
      <c r="Q269" s="25"/>
      <c r="R269" s="24"/>
      <c r="S269" s="26">
        <f t="shared" si="22"/>
        <v>0</v>
      </c>
      <c r="T269" s="26">
        <f>COUNTIF($V$4:V269,V269)</f>
        <v>226</v>
      </c>
      <c r="U269" s="26" t="str">
        <f>IF(T269=1,COUNTIF($T$4:T269,1),"")</f>
        <v/>
      </c>
      <c r="V269" s="27" t="str">
        <f t="shared" si="24"/>
        <v/>
      </c>
      <c r="W269" s="27">
        <f t="shared" si="23"/>
        <v>0</v>
      </c>
      <c r="X269" s="28"/>
      <c r="Y269" s="27"/>
    </row>
    <row r="270" spans="1:25" ht="11.25" customHeight="1">
      <c r="A270" s="34"/>
      <c r="B270" s="24"/>
      <c r="C270" s="24"/>
      <c r="D270" s="24"/>
      <c r="E270" s="24"/>
      <c r="F270" s="25"/>
      <c r="G270" s="25"/>
      <c r="H270" s="25"/>
      <c r="I270" s="25"/>
      <c r="J270" s="24"/>
      <c r="K270" s="25"/>
      <c r="L270" s="25"/>
      <c r="M270" s="25"/>
      <c r="N270" s="25"/>
      <c r="O270" s="25"/>
      <c r="P270" s="25"/>
      <c r="Q270" s="25"/>
      <c r="R270" s="24"/>
      <c r="S270" s="26">
        <f t="shared" si="22"/>
        <v>0</v>
      </c>
      <c r="T270" s="26">
        <f>COUNTIF($V$4:V270,V270)</f>
        <v>227</v>
      </c>
      <c r="U270" s="26" t="str">
        <f>IF(T270=1,COUNTIF($T$4:T270,1),"")</f>
        <v/>
      </c>
      <c r="V270" s="27" t="str">
        <f t="shared" si="24"/>
        <v/>
      </c>
      <c r="W270" s="27">
        <f t="shared" si="23"/>
        <v>0</v>
      </c>
      <c r="X270" s="28"/>
      <c r="Y270" s="27"/>
    </row>
    <row r="271" spans="1:25" ht="11.25" customHeight="1">
      <c r="A271" s="34"/>
      <c r="B271" s="24"/>
      <c r="C271" s="24"/>
      <c r="D271" s="24"/>
      <c r="E271" s="24"/>
      <c r="F271" s="25"/>
      <c r="G271" s="25"/>
      <c r="H271" s="25"/>
      <c r="I271" s="25"/>
      <c r="J271" s="24"/>
      <c r="K271" s="25"/>
      <c r="L271" s="25"/>
      <c r="M271" s="25"/>
      <c r="N271" s="25"/>
      <c r="O271" s="25"/>
      <c r="P271" s="25"/>
      <c r="Q271" s="25"/>
      <c r="R271" s="24"/>
      <c r="S271" s="26">
        <f t="shared" si="22"/>
        <v>0</v>
      </c>
      <c r="T271" s="26">
        <f>COUNTIF($V$4:V271,V271)</f>
        <v>228</v>
      </c>
      <c r="U271" s="26" t="str">
        <f>IF(T271=1,COUNTIF($T$4:T271,1),"")</f>
        <v/>
      </c>
      <c r="V271" s="27" t="str">
        <f t="shared" si="24"/>
        <v/>
      </c>
      <c r="W271" s="27">
        <f t="shared" si="23"/>
        <v>0</v>
      </c>
      <c r="X271" s="28"/>
      <c r="Y271" s="27"/>
    </row>
    <row r="272" spans="1:25" ht="11.25" customHeight="1">
      <c r="A272" s="34"/>
      <c r="B272" s="24"/>
      <c r="C272" s="24"/>
      <c r="D272" s="24"/>
      <c r="E272" s="24"/>
      <c r="F272" s="25"/>
      <c r="G272" s="25"/>
      <c r="H272" s="25"/>
      <c r="I272" s="25"/>
      <c r="J272" s="24"/>
      <c r="K272" s="25"/>
      <c r="L272" s="25"/>
      <c r="M272" s="25"/>
      <c r="N272" s="25"/>
      <c r="O272" s="25"/>
      <c r="P272" s="25"/>
      <c r="Q272" s="25"/>
      <c r="R272" s="24"/>
      <c r="S272" s="26">
        <f t="shared" si="22"/>
        <v>0</v>
      </c>
      <c r="T272" s="26">
        <f>COUNTIF($V$4:V272,V272)</f>
        <v>229</v>
      </c>
      <c r="U272" s="26" t="str">
        <f>IF(T272=1,COUNTIF($T$4:T272,1),"")</f>
        <v/>
      </c>
      <c r="V272" s="27" t="str">
        <f t="shared" si="24"/>
        <v/>
      </c>
      <c r="W272" s="27">
        <f t="shared" si="23"/>
        <v>0</v>
      </c>
      <c r="X272" s="28"/>
      <c r="Y272" s="27"/>
    </row>
    <row r="273" spans="1:25" ht="11.25" customHeight="1">
      <c r="A273" s="34"/>
      <c r="B273" s="24"/>
      <c r="C273" s="24"/>
      <c r="D273" s="24"/>
      <c r="E273" s="24"/>
      <c r="F273" s="25"/>
      <c r="G273" s="25"/>
      <c r="H273" s="25"/>
      <c r="I273" s="25"/>
      <c r="J273" s="24"/>
      <c r="K273" s="25"/>
      <c r="L273" s="25"/>
      <c r="M273" s="25"/>
      <c r="N273" s="25"/>
      <c r="O273" s="25"/>
      <c r="P273" s="25"/>
      <c r="Q273" s="25"/>
      <c r="R273" s="24"/>
      <c r="S273" s="26">
        <f t="shared" si="22"/>
        <v>0</v>
      </c>
      <c r="T273" s="26">
        <f>COUNTIF($V$4:V273,V273)</f>
        <v>230</v>
      </c>
      <c r="U273" s="26" t="str">
        <f>IF(T273=1,COUNTIF($T$4:T273,1),"")</f>
        <v/>
      </c>
      <c r="V273" s="27" t="str">
        <f t="shared" si="24"/>
        <v/>
      </c>
      <c r="W273" s="27">
        <f t="shared" si="23"/>
        <v>0</v>
      </c>
      <c r="X273" s="28"/>
      <c r="Y273" s="27"/>
    </row>
    <row r="274" spans="1:25" ht="11.25" customHeight="1">
      <c r="A274" s="34"/>
      <c r="B274" s="24"/>
      <c r="C274" s="24"/>
      <c r="D274" s="24"/>
      <c r="E274" s="24"/>
      <c r="F274" s="25"/>
      <c r="G274" s="25"/>
      <c r="H274" s="25"/>
      <c r="I274" s="25"/>
      <c r="J274" s="24"/>
      <c r="K274" s="25"/>
      <c r="L274" s="25"/>
      <c r="M274" s="25"/>
      <c r="N274" s="25"/>
      <c r="O274" s="25"/>
      <c r="P274" s="25"/>
      <c r="Q274" s="25"/>
      <c r="R274" s="24"/>
      <c r="S274" s="26">
        <f t="shared" si="22"/>
        <v>0</v>
      </c>
      <c r="T274" s="26">
        <f>COUNTIF($V$4:V274,V274)</f>
        <v>231</v>
      </c>
      <c r="U274" s="26" t="str">
        <f>IF(T274=1,COUNTIF($T$4:T274,1),"")</f>
        <v/>
      </c>
      <c r="V274" s="27" t="str">
        <f t="shared" si="24"/>
        <v/>
      </c>
      <c r="W274" s="27">
        <f t="shared" si="23"/>
        <v>0</v>
      </c>
      <c r="X274" s="28"/>
      <c r="Y274" s="27"/>
    </row>
    <row r="275" spans="1:25" ht="11.25" customHeight="1">
      <c r="A275" s="34"/>
      <c r="B275" s="24"/>
      <c r="C275" s="24"/>
      <c r="D275" s="24"/>
      <c r="E275" s="24"/>
      <c r="F275" s="25"/>
      <c r="G275" s="25"/>
      <c r="H275" s="25"/>
      <c r="I275" s="25"/>
      <c r="J275" s="24"/>
      <c r="K275" s="25"/>
      <c r="L275" s="25"/>
      <c r="M275" s="25"/>
      <c r="N275" s="25"/>
      <c r="O275" s="25"/>
      <c r="P275" s="25"/>
      <c r="Q275" s="25"/>
      <c r="R275" s="24"/>
      <c r="S275" s="26">
        <f t="shared" si="22"/>
        <v>0</v>
      </c>
      <c r="T275" s="26">
        <f>COUNTIF($V$4:V275,V275)</f>
        <v>232</v>
      </c>
      <c r="U275" s="26" t="str">
        <f>IF(T275=1,COUNTIF($T$4:T275,1),"")</f>
        <v/>
      </c>
      <c r="V275" s="27" t="str">
        <f t="shared" si="24"/>
        <v/>
      </c>
      <c r="W275" s="27">
        <f t="shared" si="23"/>
        <v>0</v>
      </c>
      <c r="X275" s="28"/>
      <c r="Y275" s="27"/>
    </row>
    <row r="276" spans="1:25" ht="11.25" customHeight="1">
      <c r="A276" s="34"/>
      <c r="B276" s="24"/>
      <c r="C276" s="24"/>
      <c r="D276" s="24"/>
      <c r="E276" s="24"/>
      <c r="F276" s="25"/>
      <c r="G276" s="25"/>
      <c r="H276" s="25"/>
      <c r="I276" s="25"/>
      <c r="J276" s="24"/>
      <c r="K276" s="25"/>
      <c r="L276" s="25"/>
      <c r="M276" s="25"/>
      <c r="N276" s="25"/>
      <c r="O276" s="25"/>
      <c r="P276" s="25"/>
      <c r="Q276" s="25"/>
      <c r="R276" s="24"/>
      <c r="S276" s="26">
        <f t="shared" si="22"/>
        <v>0</v>
      </c>
      <c r="T276" s="26">
        <f>COUNTIF($V$4:V276,V276)</f>
        <v>233</v>
      </c>
      <c r="U276" s="26" t="str">
        <f>IF(T276=1,COUNTIF($T$4:T276,1),"")</f>
        <v/>
      </c>
      <c r="V276" s="27" t="str">
        <f t="shared" si="24"/>
        <v/>
      </c>
      <c r="W276" s="27">
        <f t="shared" si="23"/>
        <v>0</v>
      </c>
      <c r="X276" s="28"/>
      <c r="Y276" s="27"/>
    </row>
    <row r="277" spans="1:25" ht="11.25" customHeight="1">
      <c r="A277" s="34"/>
      <c r="B277" s="24"/>
      <c r="C277" s="24"/>
      <c r="D277" s="24"/>
      <c r="E277" s="24"/>
      <c r="F277" s="25"/>
      <c r="G277" s="25"/>
      <c r="H277" s="25"/>
      <c r="I277" s="25"/>
      <c r="J277" s="24"/>
      <c r="K277" s="25"/>
      <c r="L277" s="25"/>
      <c r="M277" s="25"/>
      <c r="N277" s="25"/>
      <c r="O277" s="25"/>
      <c r="P277" s="25"/>
      <c r="Q277" s="25"/>
      <c r="R277" s="24"/>
      <c r="S277" s="26">
        <f t="shared" si="22"/>
        <v>0</v>
      </c>
      <c r="T277" s="26">
        <f>COUNTIF($V$4:V277,V277)</f>
        <v>234</v>
      </c>
      <c r="U277" s="26" t="str">
        <f>IF(T277=1,COUNTIF($T$4:T277,1),"")</f>
        <v/>
      </c>
      <c r="V277" s="27" t="str">
        <f t="shared" si="24"/>
        <v/>
      </c>
      <c r="W277" s="27">
        <f t="shared" si="23"/>
        <v>0</v>
      </c>
      <c r="X277" s="28"/>
      <c r="Y277" s="27"/>
    </row>
    <row r="278" spans="1:25" ht="11.25" customHeight="1">
      <c r="A278" s="34"/>
      <c r="B278" s="24"/>
      <c r="C278" s="24"/>
      <c r="D278" s="24"/>
      <c r="E278" s="24"/>
      <c r="F278" s="25"/>
      <c r="G278" s="25"/>
      <c r="H278" s="25"/>
      <c r="I278" s="25"/>
      <c r="J278" s="24"/>
      <c r="K278" s="25"/>
      <c r="L278" s="25"/>
      <c r="M278" s="25"/>
      <c r="N278" s="25"/>
      <c r="O278" s="25"/>
      <c r="P278" s="25"/>
      <c r="Q278" s="25"/>
      <c r="R278" s="24"/>
      <c r="S278" s="26">
        <f t="shared" si="22"/>
        <v>0</v>
      </c>
      <c r="T278" s="26">
        <f>COUNTIF($V$4:V278,V278)</f>
        <v>235</v>
      </c>
      <c r="U278" s="26" t="str">
        <f>IF(T278=1,COUNTIF($T$4:T278,1),"")</f>
        <v/>
      </c>
      <c r="V278" s="27" t="str">
        <f t="shared" si="24"/>
        <v/>
      </c>
      <c r="W278" s="27">
        <f t="shared" si="23"/>
        <v>0</v>
      </c>
      <c r="X278" s="28"/>
      <c r="Y278" s="27"/>
    </row>
    <row r="279" spans="1:25" ht="11.25" customHeight="1">
      <c r="A279" s="34"/>
      <c r="B279" s="24"/>
      <c r="C279" s="24"/>
      <c r="D279" s="24"/>
      <c r="E279" s="24"/>
      <c r="F279" s="25"/>
      <c r="G279" s="25"/>
      <c r="H279" s="25"/>
      <c r="I279" s="25"/>
      <c r="J279" s="24"/>
      <c r="K279" s="25"/>
      <c r="L279" s="25"/>
      <c r="M279" s="25"/>
      <c r="N279" s="25"/>
      <c r="O279" s="25"/>
      <c r="P279" s="25"/>
      <c r="Q279" s="25"/>
      <c r="R279" s="24"/>
      <c r="S279" s="26">
        <f t="shared" si="22"/>
        <v>0</v>
      </c>
      <c r="T279" s="26">
        <f>COUNTIF($V$4:V279,V279)</f>
        <v>236</v>
      </c>
      <c r="U279" s="26" t="str">
        <f>IF(T279=1,COUNTIF($T$4:T279,1),"")</f>
        <v/>
      </c>
      <c r="V279" s="27" t="str">
        <f t="shared" si="24"/>
        <v/>
      </c>
      <c r="W279" s="27">
        <f t="shared" si="23"/>
        <v>0</v>
      </c>
      <c r="X279" s="28"/>
      <c r="Y279" s="27"/>
    </row>
    <row r="280" spans="1:25" ht="11.25" customHeight="1">
      <c r="A280" s="34"/>
      <c r="B280" s="24"/>
      <c r="C280" s="24"/>
      <c r="D280" s="24"/>
      <c r="E280" s="24"/>
      <c r="F280" s="25"/>
      <c r="G280" s="25"/>
      <c r="H280" s="25"/>
      <c r="I280" s="25"/>
      <c r="J280" s="24"/>
      <c r="K280" s="25"/>
      <c r="L280" s="25"/>
      <c r="M280" s="25"/>
      <c r="N280" s="25"/>
      <c r="O280" s="25"/>
      <c r="P280" s="25"/>
      <c r="Q280" s="25"/>
      <c r="R280" s="24"/>
      <c r="S280" s="26">
        <f t="shared" si="22"/>
        <v>0</v>
      </c>
      <c r="T280" s="26">
        <f>COUNTIF($V$4:V280,V280)</f>
        <v>237</v>
      </c>
      <c r="U280" s="26" t="str">
        <f>IF(T280=1,COUNTIF($T$4:T280,1),"")</f>
        <v/>
      </c>
      <c r="V280" s="27" t="str">
        <f t="shared" si="24"/>
        <v/>
      </c>
      <c r="W280" s="27">
        <f t="shared" si="23"/>
        <v>0</v>
      </c>
      <c r="X280" s="28"/>
      <c r="Y280" s="27"/>
    </row>
    <row r="281" spans="1:25" ht="11.25" customHeight="1">
      <c r="A281" s="34"/>
      <c r="B281" s="24"/>
      <c r="C281" s="24"/>
      <c r="D281" s="24"/>
      <c r="E281" s="24"/>
      <c r="F281" s="25"/>
      <c r="G281" s="25"/>
      <c r="H281" s="25"/>
      <c r="I281" s="25"/>
      <c r="J281" s="24"/>
      <c r="K281" s="25"/>
      <c r="L281" s="25"/>
      <c r="M281" s="25"/>
      <c r="N281" s="25"/>
      <c r="O281" s="25"/>
      <c r="P281" s="25"/>
      <c r="Q281" s="25"/>
      <c r="R281" s="24"/>
      <c r="S281" s="26">
        <f t="shared" si="22"/>
        <v>0</v>
      </c>
      <c r="T281" s="26">
        <f>COUNTIF($V$4:V281,V281)</f>
        <v>238</v>
      </c>
      <c r="U281" s="26" t="str">
        <f>IF(T281=1,COUNTIF($T$4:T281,1),"")</f>
        <v/>
      </c>
      <c r="V281" s="27" t="str">
        <f t="shared" si="24"/>
        <v/>
      </c>
      <c r="W281" s="27">
        <f t="shared" si="23"/>
        <v>0</v>
      </c>
      <c r="X281" s="28"/>
      <c r="Y281" s="27"/>
    </row>
    <row r="282" spans="1:25" ht="11.25" customHeight="1">
      <c r="A282" s="34"/>
      <c r="B282" s="24"/>
      <c r="C282" s="45"/>
      <c r="D282" s="24"/>
      <c r="E282" s="24"/>
      <c r="F282" s="25"/>
      <c r="G282" s="46"/>
      <c r="H282" s="46"/>
      <c r="I282" s="46"/>
      <c r="J282" s="24"/>
      <c r="K282" s="25"/>
      <c r="L282" s="25"/>
      <c r="M282" s="25"/>
      <c r="N282" s="25"/>
      <c r="O282" s="25"/>
      <c r="P282" s="25"/>
      <c r="Q282" s="25"/>
      <c r="R282" s="24"/>
      <c r="S282" s="26">
        <f t="shared" si="22"/>
        <v>0</v>
      </c>
      <c r="T282" s="26">
        <f>COUNTIF($V$4:V282,V282)</f>
        <v>239</v>
      </c>
      <c r="U282" s="26" t="str">
        <f>IF(T282=1,COUNTIF($T$4:T282,1),"")</f>
        <v/>
      </c>
      <c r="V282" s="27" t="str">
        <f t="shared" si="24"/>
        <v/>
      </c>
      <c r="W282" s="27">
        <f t="shared" si="23"/>
        <v>0</v>
      </c>
      <c r="X282" s="28"/>
      <c r="Y282" s="27"/>
    </row>
    <row r="283" spans="1:25" ht="11.25" customHeight="1">
      <c r="A283" s="34"/>
      <c r="B283" s="24"/>
      <c r="C283" s="45"/>
      <c r="D283" s="24"/>
      <c r="E283" s="24"/>
      <c r="F283" s="25"/>
      <c r="G283" s="46"/>
      <c r="H283" s="46"/>
      <c r="I283" s="46"/>
      <c r="J283" s="24"/>
      <c r="K283" s="25"/>
      <c r="L283" s="25"/>
      <c r="M283" s="25"/>
      <c r="N283" s="25"/>
      <c r="O283" s="25"/>
      <c r="P283" s="25"/>
      <c r="Q283" s="25"/>
      <c r="R283" s="24"/>
      <c r="S283" s="26">
        <f t="shared" si="22"/>
        <v>0</v>
      </c>
      <c r="T283" s="26">
        <f>COUNTIF($V$4:V283,V283)</f>
        <v>240</v>
      </c>
      <c r="U283" s="26" t="str">
        <f>IF(T283=1,COUNTIF($T$4:T283,1),"")</f>
        <v/>
      </c>
      <c r="V283" s="27" t="str">
        <f t="shared" si="24"/>
        <v/>
      </c>
      <c r="W283" s="27">
        <f t="shared" si="23"/>
        <v>0</v>
      </c>
      <c r="X283" s="28"/>
      <c r="Y283" s="27"/>
    </row>
    <row r="284" spans="1:25" ht="11.25" customHeight="1">
      <c r="A284" s="34"/>
      <c r="B284" s="24"/>
      <c r="C284" s="45"/>
      <c r="D284" s="24"/>
      <c r="E284" s="24"/>
      <c r="F284" s="25"/>
      <c r="G284" s="46"/>
      <c r="H284" s="46"/>
      <c r="I284" s="46"/>
      <c r="J284" s="24"/>
      <c r="K284" s="25"/>
      <c r="L284" s="25"/>
      <c r="M284" s="25"/>
      <c r="N284" s="25"/>
      <c r="O284" s="25"/>
      <c r="P284" s="25"/>
      <c r="Q284" s="25"/>
      <c r="R284" s="24"/>
      <c r="S284" s="26">
        <f t="shared" si="22"/>
        <v>0</v>
      </c>
      <c r="T284" s="26">
        <f>COUNTIF($V$4:V284,V284)</f>
        <v>241</v>
      </c>
      <c r="U284" s="26" t="str">
        <f>IF(T284=1,COUNTIF($T$4:T284,1),"")</f>
        <v/>
      </c>
      <c r="V284" s="27" t="str">
        <f t="shared" si="24"/>
        <v/>
      </c>
      <c r="W284" s="27">
        <f t="shared" si="23"/>
        <v>0</v>
      </c>
      <c r="X284" s="28"/>
      <c r="Y284" s="27"/>
    </row>
    <row r="285" spans="1:25" ht="11.25" customHeight="1">
      <c r="A285" s="34"/>
      <c r="B285" s="24"/>
      <c r="C285" s="45"/>
      <c r="D285" s="24"/>
      <c r="E285" s="24"/>
      <c r="F285" s="25"/>
      <c r="G285" s="46"/>
      <c r="H285" s="46"/>
      <c r="I285" s="46"/>
      <c r="J285" s="24"/>
      <c r="K285" s="25"/>
      <c r="L285" s="25"/>
      <c r="M285" s="25"/>
      <c r="N285" s="25"/>
      <c r="O285" s="25"/>
      <c r="P285" s="25"/>
      <c r="Q285" s="25"/>
      <c r="R285" s="24"/>
      <c r="S285" s="26">
        <f t="shared" si="22"/>
        <v>0</v>
      </c>
      <c r="T285" s="26">
        <f>COUNTIF($V$4:V285,V285)</f>
        <v>242</v>
      </c>
      <c r="U285" s="26" t="str">
        <f>IF(T285=1,COUNTIF($T$4:T285,1),"")</f>
        <v/>
      </c>
      <c r="V285" s="27" t="str">
        <f t="shared" si="24"/>
        <v/>
      </c>
      <c r="W285" s="27">
        <f t="shared" si="23"/>
        <v>0</v>
      </c>
      <c r="X285" s="28"/>
      <c r="Y285" s="27"/>
    </row>
    <row r="286" spans="1:25" ht="11.25" customHeight="1">
      <c r="A286" s="34"/>
      <c r="B286" s="24"/>
      <c r="C286" s="45"/>
      <c r="D286" s="24"/>
      <c r="E286" s="24"/>
      <c r="F286" s="25"/>
      <c r="G286" s="46"/>
      <c r="H286" s="46"/>
      <c r="I286" s="46"/>
      <c r="J286" s="24"/>
      <c r="K286" s="25"/>
      <c r="L286" s="25"/>
      <c r="M286" s="25"/>
      <c r="N286" s="25"/>
      <c r="O286" s="25"/>
      <c r="P286" s="25"/>
      <c r="Q286" s="25"/>
      <c r="R286" s="24"/>
      <c r="S286" s="26">
        <f t="shared" si="22"/>
        <v>0</v>
      </c>
      <c r="T286" s="26">
        <f>COUNTIF($V$4:V286,V286)</f>
        <v>243</v>
      </c>
      <c r="U286" s="26" t="str">
        <f>IF(T286=1,COUNTIF($T$4:T286,1),"")</f>
        <v/>
      </c>
      <c r="V286" s="27" t="str">
        <f t="shared" si="24"/>
        <v/>
      </c>
      <c r="W286" s="27">
        <f t="shared" si="23"/>
        <v>0</v>
      </c>
      <c r="X286" s="28"/>
      <c r="Y286" s="27"/>
    </row>
    <row r="287" spans="1:25" ht="11.25" customHeight="1">
      <c r="A287" s="34"/>
      <c r="B287" s="24"/>
      <c r="C287" s="45"/>
      <c r="D287" s="24"/>
      <c r="E287" s="24"/>
      <c r="F287" s="25"/>
      <c r="G287" s="46"/>
      <c r="H287" s="46"/>
      <c r="I287" s="46"/>
      <c r="J287" s="24"/>
      <c r="K287" s="25"/>
      <c r="L287" s="25"/>
      <c r="M287" s="25"/>
      <c r="N287" s="25"/>
      <c r="O287" s="25"/>
      <c r="P287" s="25"/>
      <c r="Q287" s="25"/>
      <c r="R287" s="24"/>
      <c r="S287" s="26">
        <f t="shared" si="22"/>
        <v>0</v>
      </c>
      <c r="T287" s="26">
        <f>COUNTIF($V$4:V287,V287)</f>
        <v>244</v>
      </c>
      <c r="U287" s="26" t="str">
        <f>IF(T287=1,COUNTIF($T$4:T287,1),"")</f>
        <v/>
      </c>
      <c r="V287" s="27" t="str">
        <f t="shared" si="24"/>
        <v/>
      </c>
      <c r="W287" s="27">
        <f t="shared" si="23"/>
        <v>0</v>
      </c>
      <c r="X287" s="28"/>
      <c r="Y287" s="27"/>
    </row>
    <row r="288" spans="1:25" ht="11.25" customHeight="1">
      <c r="A288" s="34"/>
      <c r="B288" s="24"/>
      <c r="C288" s="45"/>
      <c r="D288" s="24"/>
      <c r="E288" s="24"/>
      <c r="F288" s="25"/>
      <c r="G288" s="46"/>
      <c r="H288" s="46"/>
      <c r="I288" s="46"/>
      <c r="J288" s="24"/>
      <c r="K288" s="25"/>
      <c r="L288" s="25"/>
      <c r="M288" s="25"/>
      <c r="N288" s="25"/>
      <c r="O288" s="25"/>
      <c r="P288" s="25"/>
      <c r="Q288" s="25"/>
      <c r="R288" s="24"/>
      <c r="S288" s="26">
        <f t="shared" si="22"/>
        <v>0</v>
      </c>
      <c r="T288" s="26">
        <f>COUNTIF($V$4:V288,V288)</f>
        <v>245</v>
      </c>
      <c r="U288" s="26" t="str">
        <f>IF(T288=1,COUNTIF($T$4:T288,1),"")</f>
        <v/>
      </c>
      <c r="V288" s="27" t="str">
        <f t="shared" si="24"/>
        <v/>
      </c>
      <c r="W288" s="27">
        <f t="shared" si="23"/>
        <v>0</v>
      </c>
      <c r="X288" s="28"/>
      <c r="Y288" s="27"/>
    </row>
    <row r="289" spans="1:25" ht="11.25" customHeight="1">
      <c r="A289" s="34"/>
      <c r="B289" s="24"/>
      <c r="C289" s="45"/>
      <c r="D289" s="24"/>
      <c r="E289" s="24"/>
      <c r="F289" s="25"/>
      <c r="G289" s="46"/>
      <c r="H289" s="46"/>
      <c r="I289" s="46"/>
      <c r="J289" s="24"/>
      <c r="K289" s="25"/>
      <c r="L289" s="25"/>
      <c r="M289" s="25"/>
      <c r="N289" s="25"/>
      <c r="O289" s="25"/>
      <c r="P289" s="25"/>
      <c r="Q289" s="25"/>
      <c r="R289" s="24"/>
      <c r="S289" s="26">
        <f t="shared" si="22"/>
        <v>0</v>
      </c>
      <c r="T289" s="26">
        <f>COUNTIF($V$4:V289,V289)</f>
        <v>246</v>
      </c>
      <c r="U289" s="26" t="str">
        <f>IF(T289=1,COUNTIF($T$4:T289,1),"")</f>
        <v/>
      </c>
      <c r="V289" s="27" t="str">
        <f t="shared" si="24"/>
        <v/>
      </c>
      <c r="W289" s="27">
        <f t="shared" si="23"/>
        <v>0</v>
      </c>
      <c r="X289" s="28"/>
      <c r="Y289" s="27"/>
    </row>
    <row r="290" spans="1:25" ht="11.25" customHeight="1">
      <c r="A290" s="34"/>
      <c r="B290" s="24"/>
      <c r="C290" s="45"/>
      <c r="D290" s="24"/>
      <c r="E290" s="24"/>
      <c r="F290" s="25"/>
      <c r="G290" s="46"/>
      <c r="H290" s="46"/>
      <c r="I290" s="46"/>
      <c r="J290" s="24"/>
      <c r="K290" s="25"/>
      <c r="L290" s="25"/>
      <c r="M290" s="25"/>
      <c r="N290" s="25"/>
      <c r="O290" s="25"/>
      <c r="P290" s="25"/>
      <c r="Q290" s="25"/>
      <c r="R290" s="24"/>
      <c r="S290" s="26">
        <f t="shared" si="22"/>
        <v>0</v>
      </c>
      <c r="T290" s="26">
        <f>COUNTIF($V$4:V290,V290)</f>
        <v>247</v>
      </c>
      <c r="U290" s="26" t="str">
        <f>IF(T290=1,COUNTIF($T$4:T290,1),"")</f>
        <v/>
      </c>
      <c r="V290" s="27" t="str">
        <f t="shared" si="24"/>
        <v/>
      </c>
      <c r="W290" s="27">
        <f t="shared" si="23"/>
        <v>0</v>
      </c>
      <c r="X290" s="28"/>
      <c r="Y290" s="27"/>
    </row>
    <row r="291" spans="1:25" ht="11.25" customHeight="1">
      <c r="A291" s="34"/>
      <c r="B291" s="24"/>
      <c r="C291" s="45"/>
      <c r="D291" s="24"/>
      <c r="E291" s="24"/>
      <c r="F291" s="47"/>
      <c r="G291" s="46"/>
      <c r="H291" s="46"/>
      <c r="I291" s="46"/>
      <c r="J291" s="24"/>
      <c r="K291" s="25"/>
      <c r="L291" s="25"/>
      <c r="M291" s="25"/>
      <c r="N291" s="25"/>
      <c r="O291" s="25"/>
      <c r="P291" s="25"/>
      <c r="Q291" s="25"/>
      <c r="R291" s="24"/>
      <c r="S291" s="26">
        <f t="shared" si="22"/>
        <v>0</v>
      </c>
      <c r="T291" s="26">
        <f>COUNTIF($V$4:V291,V291)</f>
        <v>248</v>
      </c>
      <c r="U291" s="26" t="str">
        <f>IF(T291=1,COUNTIF($T$4:T291,1),"")</f>
        <v/>
      </c>
      <c r="V291" s="27" t="str">
        <f t="shared" si="24"/>
        <v/>
      </c>
      <c r="W291" s="27">
        <f t="shared" si="23"/>
        <v>0</v>
      </c>
      <c r="X291" s="28"/>
      <c r="Y291" s="27"/>
    </row>
    <row r="292" spans="1:25" ht="11.25" customHeight="1">
      <c r="A292" s="34"/>
      <c r="B292" s="24"/>
      <c r="C292" s="45"/>
      <c r="D292" s="24"/>
      <c r="E292" s="24"/>
      <c r="F292" s="47"/>
      <c r="G292" s="46"/>
      <c r="H292" s="46"/>
      <c r="I292" s="46"/>
      <c r="J292" s="24"/>
      <c r="K292" s="25"/>
      <c r="L292" s="25"/>
      <c r="M292" s="25"/>
      <c r="N292" s="25"/>
      <c r="O292" s="25"/>
      <c r="P292" s="25"/>
      <c r="Q292" s="25"/>
      <c r="R292" s="24"/>
      <c r="S292" s="26">
        <f t="shared" si="22"/>
        <v>0</v>
      </c>
      <c r="T292" s="26">
        <f>COUNTIF($V$4:V292,V292)</f>
        <v>249</v>
      </c>
      <c r="U292" s="26" t="str">
        <f>IF(T292=1,COUNTIF($T$4:T292,1),"")</f>
        <v/>
      </c>
      <c r="V292" s="27" t="str">
        <f t="shared" si="24"/>
        <v/>
      </c>
      <c r="W292" s="27">
        <f t="shared" si="23"/>
        <v>0</v>
      </c>
      <c r="X292" s="28"/>
      <c r="Y292" s="27"/>
    </row>
    <row r="293" spans="1:25" ht="11.25" customHeight="1">
      <c r="A293" s="34"/>
      <c r="B293" s="24"/>
      <c r="C293" s="24"/>
      <c r="D293" s="24"/>
      <c r="E293" s="24"/>
      <c r="F293" s="25"/>
      <c r="G293" s="25"/>
      <c r="H293" s="25"/>
      <c r="I293" s="25"/>
      <c r="J293" s="25"/>
      <c r="K293" s="25"/>
      <c r="L293" s="25"/>
      <c r="M293" s="25"/>
      <c r="N293" s="25"/>
      <c r="O293" s="25"/>
      <c r="P293" s="25"/>
      <c r="Q293" s="25"/>
      <c r="R293" s="24"/>
      <c r="S293" s="26">
        <f t="shared" si="22"/>
        <v>0</v>
      </c>
      <c r="T293" s="26">
        <f>COUNTIF($V$4:V293,V293)</f>
        <v>250</v>
      </c>
      <c r="U293" s="26" t="str">
        <f>IF(T293=1,COUNTIF($T$4:T293,1),"")</f>
        <v/>
      </c>
      <c r="V293" s="27" t="str">
        <f t="shared" si="24"/>
        <v/>
      </c>
      <c r="W293" s="27">
        <f t="shared" si="23"/>
        <v>0</v>
      </c>
      <c r="X293" s="28"/>
      <c r="Y293" s="27"/>
    </row>
    <row r="294" spans="1:25" ht="11.25" customHeight="1">
      <c r="A294" s="34"/>
      <c r="B294" s="24"/>
      <c r="C294" s="24"/>
      <c r="D294" s="24"/>
      <c r="E294" s="24"/>
      <c r="F294" s="25"/>
      <c r="G294" s="25"/>
      <c r="H294" s="25"/>
      <c r="I294" s="25"/>
      <c r="J294" s="25"/>
      <c r="K294" s="25"/>
      <c r="L294" s="25"/>
      <c r="M294" s="25"/>
      <c r="N294" s="25"/>
      <c r="O294" s="25"/>
      <c r="P294" s="25"/>
      <c r="Q294" s="25"/>
      <c r="R294" s="24"/>
      <c r="S294" s="26">
        <f t="shared" si="22"/>
        <v>0</v>
      </c>
      <c r="T294" s="26">
        <f>COUNTIF($V$4:V294,V294)</f>
        <v>251</v>
      </c>
      <c r="U294" s="26" t="str">
        <f>IF(T294=1,COUNTIF($T$4:T294,1),"")</f>
        <v/>
      </c>
      <c r="V294" s="27" t="str">
        <f t="shared" si="24"/>
        <v/>
      </c>
      <c r="W294" s="27">
        <f t="shared" si="23"/>
        <v>0</v>
      </c>
      <c r="X294" s="28"/>
      <c r="Y294" s="27"/>
    </row>
    <row r="295" spans="1:25" ht="11.25" customHeight="1">
      <c r="A295" s="34"/>
      <c r="B295" s="24"/>
      <c r="C295" s="24"/>
      <c r="D295" s="24"/>
      <c r="E295" s="24"/>
      <c r="F295" s="25"/>
      <c r="G295" s="25"/>
      <c r="H295" s="25"/>
      <c r="I295" s="25"/>
      <c r="J295" s="25"/>
      <c r="K295" s="25"/>
      <c r="L295" s="25"/>
      <c r="M295" s="25"/>
      <c r="N295" s="25"/>
      <c r="O295" s="25"/>
      <c r="P295" s="25"/>
      <c r="Q295" s="25"/>
      <c r="R295" s="24"/>
      <c r="S295" s="26">
        <f t="shared" si="22"/>
        <v>0</v>
      </c>
      <c r="T295" s="26">
        <f>COUNTIF($V$4:V295,V295)</f>
        <v>252</v>
      </c>
      <c r="U295" s="26" t="str">
        <f>IF(T295=1,COUNTIF($T$4:T295,1),"")</f>
        <v/>
      </c>
      <c r="V295" s="27" t="str">
        <f t="shared" si="24"/>
        <v/>
      </c>
      <c r="W295" s="27">
        <f t="shared" si="23"/>
        <v>0</v>
      </c>
      <c r="X295" s="28"/>
      <c r="Y295" s="27"/>
    </row>
    <row r="296" spans="1:25" ht="11.25" customHeight="1">
      <c r="A296" s="34"/>
      <c r="B296" s="24"/>
      <c r="C296" s="24"/>
      <c r="D296" s="24"/>
      <c r="E296" s="24"/>
      <c r="F296" s="25"/>
      <c r="G296" s="25"/>
      <c r="H296" s="25"/>
      <c r="I296" s="25"/>
      <c r="J296" s="25"/>
      <c r="K296" s="25"/>
      <c r="L296" s="25"/>
      <c r="M296" s="25"/>
      <c r="N296" s="25"/>
      <c r="O296" s="25"/>
      <c r="P296" s="25"/>
      <c r="Q296" s="25"/>
      <c r="R296" s="24"/>
      <c r="S296" s="26">
        <f t="shared" si="22"/>
        <v>0</v>
      </c>
      <c r="T296" s="26">
        <f>COUNTIF($V$4:V296,V296)</f>
        <v>253</v>
      </c>
      <c r="U296" s="26" t="str">
        <f>IF(T296=1,COUNTIF($T$4:T296,1),"")</f>
        <v/>
      </c>
      <c r="V296" s="27" t="str">
        <f t="shared" si="24"/>
        <v/>
      </c>
      <c r="W296" s="27">
        <f t="shared" si="23"/>
        <v>0</v>
      </c>
      <c r="X296" s="28"/>
      <c r="Y296" s="27"/>
    </row>
    <row r="297" spans="1:25" ht="11.25" customHeight="1">
      <c r="A297" s="34"/>
      <c r="B297" s="24"/>
      <c r="C297" s="45"/>
      <c r="D297" s="24"/>
      <c r="E297" s="24"/>
      <c r="F297" s="47"/>
      <c r="G297" s="46"/>
      <c r="H297" s="46"/>
      <c r="I297" s="46"/>
      <c r="J297" s="24"/>
      <c r="K297" s="25"/>
      <c r="L297" s="25"/>
      <c r="M297" s="25"/>
      <c r="N297" s="25"/>
      <c r="O297" s="25"/>
      <c r="P297" s="25"/>
      <c r="Q297" s="25"/>
      <c r="R297" s="24"/>
      <c r="S297" s="26">
        <f t="shared" si="22"/>
        <v>0</v>
      </c>
      <c r="T297" s="26">
        <f>COUNTIF($V$4:V297,V297)</f>
        <v>254</v>
      </c>
      <c r="U297" s="26" t="str">
        <f>IF(T297=1,COUNTIF($T$4:T297,1),"")</f>
        <v/>
      </c>
      <c r="V297" s="27" t="str">
        <f t="shared" si="24"/>
        <v/>
      </c>
      <c r="W297" s="27">
        <f t="shared" si="23"/>
        <v>0</v>
      </c>
      <c r="X297" s="28"/>
      <c r="Y297" s="27"/>
    </row>
    <row r="298" spans="1:25" ht="11.25" customHeight="1">
      <c r="A298" s="34"/>
      <c r="B298" s="24"/>
      <c r="C298" s="45"/>
      <c r="D298" s="24"/>
      <c r="E298" s="24"/>
      <c r="F298" s="47"/>
      <c r="G298" s="46"/>
      <c r="H298" s="46"/>
      <c r="I298" s="46"/>
      <c r="J298" s="24"/>
      <c r="K298" s="25"/>
      <c r="L298" s="25"/>
      <c r="M298" s="25"/>
      <c r="N298" s="25"/>
      <c r="O298" s="25"/>
      <c r="P298" s="25"/>
      <c r="Q298" s="25"/>
      <c r="R298" s="24"/>
      <c r="S298" s="26">
        <f t="shared" si="22"/>
        <v>0</v>
      </c>
      <c r="T298" s="26">
        <f>COUNTIF($V$4:V298,V298)</f>
        <v>255</v>
      </c>
      <c r="U298" s="26" t="str">
        <f>IF(T298=1,COUNTIF($T$4:T298,1),"")</f>
        <v/>
      </c>
      <c r="V298" s="27" t="str">
        <f t="shared" si="24"/>
        <v/>
      </c>
      <c r="W298" s="27">
        <f t="shared" si="23"/>
        <v>0</v>
      </c>
      <c r="X298" s="28"/>
      <c r="Y298" s="27"/>
    </row>
    <row r="299" spans="1:25" ht="11.25" customHeight="1">
      <c r="A299" s="34"/>
      <c r="B299" s="24"/>
      <c r="C299" s="45"/>
      <c r="D299" s="24"/>
      <c r="E299" s="24"/>
      <c r="F299" s="25"/>
      <c r="G299" s="46"/>
      <c r="H299" s="46"/>
      <c r="I299" s="46"/>
      <c r="J299" s="24"/>
      <c r="K299" s="25"/>
      <c r="L299" s="25"/>
      <c r="M299" s="25"/>
      <c r="N299" s="25"/>
      <c r="O299" s="25"/>
      <c r="P299" s="25"/>
      <c r="Q299" s="25"/>
      <c r="R299" s="24"/>
      <c r="S299" s="26">
        <f t="shared" si="22"/>
        <v>0</v>
      </c>
      <c r="T299" s="26">
        <f>COUNTIF($V$4:V299,V299)</f>
        <v>256</v>
      </c>
      <c r="U299" s="26" t="str">
        <f>IF(T299=1,COUNTIF($T$4:T299,1),"")</f>
        <v/>
      </c>
      <c r="V299" s="27" t="str">
        <f t="shared" si="24"/>
        <v/>
      </c>
      <c r="W299" s="27">
        <f t="shared" si="23"/>
        <v>0</v>
      </c>
      <c r="X299" s="28"/>
      <c r="Y299" s="27"/>
    </row>
    <row r="300" spans="1:25">
      <c r="A300" s="34"/>
      <c r="B300" s="24"/>
      <c r="C300" s="45"/>
      <c r="D300" s="24"/>
      <c r="E300" s="24"/>
      <c r="F300" s="25"/>
      <c r="G300" s="46"/>
      <c r="H300" s="46"/>
      <c r="I300" s="46"/>
      <c r="J300" s="24"/>
      <c r="K300" s="25"/>
      <c r="L300" s="25"/>
      <c r="M300" s="25"/>
      <c r="N300" s="25"/>
      <c r="O300" s="25"/>
      <c r="P300" s="25"/>
      <c r="Q300" s="25"/>
      <c r="R300" s="24"/>
      <c r="S300" s="26">
        <f t="shared" si="22"/>
        <v>0</v>
      </c>
      <c r="T300" s="26">
        <f>COUNTIF($V$4:V300,V300)</f>
        <v>257</v>
      </c>
      <c r="U300" s="26" t="str">
        <f>IF(T300=1,COUNTIF($T$4:T300,1),"")</f>
        <v/>
      </c>
      <c r="V300" s="27" t="str">
        <f t="shared" si="24"/>
        <v/>
      </c>
      <c r="W300" s="27">
        <f t="shared" si="23"/>
        <v>0</v>
      </c>
      <c r="X300" s="28"/>
      <c r="Y300" s="27"/>
    </row>
    <row r="301" spans="1:25">
      <c r="A301" s="34"/>
      <c r="B301" s="24"/>
      <c r="C301" s="45"/>
      <c r="D301" s="24"/>
      <c r="E301" s="24"/>
      <c r="F301" s="25"/>
      <c r="G301" s="46"/>
      <c r="H301" s="46"/>
      <c r="I301" s="46"/>
      <c r="J301" s="24"/>
      <c r="K301" s="25"/>
      <c r="L301" s="25"/>
      <c r="M301" s="25"/>
      <c r="N301" s="25"/>
      <c r="O301" s="25"/>
      <c r="P301" s="25"/>
      <c r="Q301" s="25"/>
      <c r="R301" s="24"/>
      <c r="S301" s="26">
        <f t="shared" si="22"/>
        <v>0</v>
      </c>
      <c r="T301" s="26">
        <f>COUNTIF($V$4:V301,V301)</f>
        <v>258</v>
      </c>
      <c r="U301" s="26" t="str">
        <f>IF(T301=1,COUNTIF($T$4:T301,1),"")</f>
        <v/>
      </c>
      <c r="V301" s="27" t="str">
        <f t="shared" si="24"/>
        <v/>
      </c>
      <c r="W301" s="27">
        <f t="shared" si="23"/>
        <v>0</v>
      </c>
      <c r="X301" s="28"/>
      <c r="Y301" s="27"/>
    </row>
    <row r="302" spans="1:25" ht="11.25" customHeight="1">
      <c r="A302" s="34"/>
      <c r="B302" s="24"/>
      <c r="C302" s="45"/>
      <c r="D302" s="24"/>
      <c r="E302" s="24"/>
      <c r="F302" s="25"/>
      <c r="G302" s="46"/>
      <c r="H302" s="46"/>
      <c r="I302" s="46"/>
      <c r="J302" s="24"/>
      <c r="K302" s="25"/>
      <c r="L302" s="25"/>
      <c r="M302" s="25"/>
      <c r="N302" s="25"/>
      <c r="O302" s="25"/>
      <c r="P302" s="25"/>
      <c r="Q302" s="25"/>
      <c r="R302" s="24"/>
      <c r="S302" s="26">
        <f t="shared" si="22"/>
        <v>0</v>
      </c>
      <c r="T302" s="26">
        <f>COUNTIF($V$4:V302,V302)</f>
        <v>259</v>
      </c>
      <c r="U302" s="26" t="str">
        <f>IF(T302=1,COUNTIF($T$4:T302,1),"")</f>
        <v/>
      </c>
      <c r="V302" s="27" t="str">
        <f t="shared" si="24"/>
        <v/>
      </c>
      <c r="W302" s="27">
        <f t="shared" si="23"/>
        <v>0</v>
      </c>
      <c r="X302" s="28"/>
      <c r="Y302" s="27"/>
    </row>
    <row r="303" spans="1:25" ht="11.25" customHeight="1">
      <c r="A303" s="34"/>
      <c r="B303" s="24"/>
      <c r="C303" s="45"/>
      <c r="D303" s="24"/>
      <c r="E303" s="24"/>
      <c r="F303" s="25"/>
      <c r="G303" s="46"/>
      <c r="H303" s="46"/>
      <c r="I303" s="46"/>
      <c r="J303" s="24"/>
      <c r="K303" s="25"/>
      <c r="L303" s="25"/>
      <c r="M303" s="25"/>
      <c r="N303" s="25"/>
      <c r="O303" s="25"/>
      <c r="P303" s="25"/>
      <c r="Q303" s="25"/>
      <c r="R303" s="24"/>
      <c r="S303" s="26">
        <f t="shared" si="22"/>
        <v>0</v>
      </c>
      <c r="T303" s="26">
        <f>COUNTIF($V$4:V303,V303)</f>
        <v>260</v>
      </c>
      <c r="U303" s="26" t="str">
        <f>IF(T303=1,COUNTIF($T$4:T303,1),"")</f>
        <v/>
      </c>
      <c r="V303" s="27" t="str">
        <f t="shared" si="24"/>
        <v/>
      </c>
      <c r="W303" s="27">
        <f t="shared" si="23"/>
        <v>0</v>
      </c>
      <c r="X303" s="28"/>
      <c r="Y303" s="27"/>
    </row>
    <row r="304" spans="1:25" ht="11.25" customHeight="1">
      <c r="A304" s="34"/>
      <c r="B304" s="24"/>
      <c r="C304" s="45"/>
      <c r="D304" s="24"/>
      <c r="E304" s="24"/>
      <c r="F304" s="25"/>
      <c r="G304" s="46"/>
      <c r="H304" s="46"/>
      <c r="I304" s="46"/>
      <c r="J304" s="24"/>
      <c r="K304" s="25"/>
      <c r="L304" s="25"/>
      <c r="M304" s="25"/>
      <c r="N304" s="25"/>
      <c r="O304" s="25"/>
      <c r="P304" s="25"/>
      <c r="Q304" s="25"/>
      <c r="R304" s="24"/>
      <c r="S304" s="26">
        <f t="shared" si="22"/>
        <v>0</v>
      </c>
      <c r="T304" s="26">
        <f>COUNTIF($V$4:V304,V304)</f>
        <v>261</v>
      </c>
      <c r="U304" s="26" t="str">
        <f>IF(T304=1,COUNTIF($T$4:T304,1),"")</f>
        <v/>
      </c>
      <c r="V304" s="27" t="str">
        <f t="shared" si="24"/>
        <v/>
      </c>
      <c r="W304" s="27">
        <f t="shared" si="23"/>
        <v>0</v>
      </c>
      <c r="X304" s="28"/>
      <c r="Y304" s="27"/>
    </row>
    <row r="305" spans="1:25" ht="11.25" customHeight="1">
      <c r="A305" s="34"/>
      <c r="B305" s="24"/>
      <c r="C305" s="45"/>
      <c r="D305" s="24"/>
      <c r="E305" s="24"/>
      <c r="F305" s="25"/>
      <c r="G305" s="46"/>
      <c r="H305" s="46"/>
      <c r="I305" s="46"/>
      <c r="J305" s="24"/>
      <c r="K305" s="25"/>
      <c r="L305" s="25"/>
      <c r="M305" s="25"/>
      <c r="N305" s="25"/>
      <c r="O305" s="25"/>
      <c r="P305" s="25"/>
      <c r="Q305" s="25"/>
      <c r="R305" s="24"/>
      <c r="S305" s="26">
        <f t="shared" si="22"/>
        <v>0</v>
      </c>
      <c r="T305" s="26">
        <f>COUNTIF($V$4:V305,V305)</f>
        <v>262</v>
      </c>
      <c r="U305" s="26" t="str">
        <f>IF(T305=1,COUNTIF($T$4:T305,1),"")</f>
        <v/>
      </c>
      <c r="V305" s="27" t="str">
        <f t="shared" si="24"/>
        <v/>
      </c>
      <c r="W305" s="27">
        <f t="shared" si="23"/>
        <v>0</v>
      </c>
      <c r="X305" s="28"/>
      <c r="Y305" s="27"/>
    </row>
    <row r="306" spans="1:25" ht="11.25" customHeight="1">
      <c r="A306" s="34"/>
      <c r="B306" s="24"/>
      <c r="C306" s="45"/>
      <c r="D306" s="24"/>
      <c r="E306" s="24"/>
      <c r="F306" s="25"/>
      <c r="G306" s="46"/>
      <c r="H306" s="46"/>
      <c r="I306" s="46"/>
      <c r="J306" s="24"/>
      <c r="K306" s="25"/>
      <c r="L306" s="25"/>
      <c r="M306" s="25"/>
      <c r="N306" s="25"/>
      <c r="O306" s="25"/>
      <c r="P306" s="25"/>
      <c r="Q306" s="25"/>
      <c r="R306" s="24"/>
      <c r="S306" s="26">
        <f t="shared" si="22"/>
        <v>0</v>
      </c>
      <c r="T306" s="26">
        <f>COUNTIF($V$4:V306,V306)</f>
        <v>263</v>
      </c>
      <c r="U306" s="26" t="str">
        <f>IF(T306=1,COUNTIF($T$4:T306,1),"")</f>
        <v/>
      </c>
      <c r="V306" s="27" t="str">
        <f t="shared" si="24"/>
        <v/>
      </c>
      <c r="W306" s="27">
        <f t="shared" si="23"/>
        <v>0</v>
      </c>
      <c r="X306" s="28"/>
      <c r="Y306" s="27"/>
    </row>
    <row r="307" spans="1:25">
      <c r="A307" s="34"/>
      <c r="B307" s="24"/>
      <c r="C307" s="45"/>
      <c r="D307" s="24"/>
      <c r="E307" s="24"/>
      <c r="F307" s="25"/>
      <c r="G307" s="46"/>
      <c r="H307" s="46"/>
      <c r="I307" s="46"/>
      <c r="J307" s="24"/>
      <c r="K307" s="25"/>
      <c r="L307" s="25"/>
      <c r="M307" s="25"/>
      <c r="N307" s="25"/>
      <c r="O307" s="25"/>
      <c r="P307" s="25"/>
      <c r="Q307" s="25"/>
      <c r="R307" s="24"/>
      <c r="S307" s="26">
        <f t="shared" si="22"/>
        <v>0</v>
      </c>
      <c r="T307" s="26">
        <f>COUNTIF($V$4:V307,V307)</f>
        <v>264</v>
      </c>
      <c r="U307" s="26" t="str">
        <f>IF(T307=1,COUNTIF($T$4:T307,1),"")</f>
        <v/>
      </c>
      <c r="V307" s="27" t="str">
        <f t="shared" si="24"/>
        <v/>
      </c>
      <c r="W307" s="27">
        <f t="shared" si="23"/>
        <v>0</v>
      </c>
      <c r="X307" s="28"/>
      <c r="Y307" s="27"/>
    </row>
    <row r="308" spans="1:25">
      <c r="A308" s="34"/>
      <c r="B308" s="24"/>
      <c r="C308" s="45"/>
      <c r="D308" s="24"/>
      <c r="E308" s="24"/>
      <c r="F308" s="25"/>
      <c r="G308" s="46"/>
      <c r="H308" s="46"/>
      <c r="I308" s="46"/>
      <c r="J308" s="24"/>
      <c r="K308" s="25"/>
      <c r="L308" s="25"/>
      <c r="M308" s="25"/>
      <c r="N308" s="25"/>
      <c r="O308" s="25"/>
      <c r="P308" s="25"/>
      <c r="Q308" s="25"/>
      <c r="R308" s="24"/>
      <c r="S308" s="26">
        <f t="shared" si="22"/>
        <v>0</v>
      </c>
      <c r="T308" s="26">
        <f>COUNTIF($V$4:V308,V308)</f>
        <v>265</v>
      </c>
      <c r="U308" s="26" t="str">
        <f>IF(T308=1,COUNTIF($T$4:T308,1),"")</f>
        <v/>
      </c>
      <c r="V308" s="27" t="str">
        <f t="shared" si="24"/>
        <v/>
      </c>
      <c r="W308" s="27">
        <f t="shared" si="23"/>
        <v>0</v>
      </c>
      <c r="X308" s="28"/>
      <c r="Y308" s="27"/>
    </row>
    <row r="309" spans="1:25" ht="11.25" customHeight="1">
      <c r="A309" s="34"/>
      <c r="B309" s="24"/>
      <c r="C309" s="45"/>
      <c r="D309" s="24"/>
      <c r="E309" s="24"/>
      <c r="F309" s="25"/>
      <c r="G309" s="46"/>
      <c r="H309" s="46"/>
      <c r="I309" s="46"/>
      <c r="J309" s="24"/>
      <c r="K309" s="25"/>
      <c r="L309" s="25"/>
      <c r="M309" s="25"/>
      <c r="N309" s="25"/>
      <c r="O309" s="25"/>
      <c r="P309" s="25"/>
      <c r="Q309" s="25"/>
      <c r="R309" s="24"/>
      <c r="S309" s="26">
        <f t="shared" si="22"/>
        <v>0</v>
      </c>
      <c r="T309" s="26">
        <f>COUNTIF($V$4:V309,V309)</f>
        <v>266</v>
      </c>
      <c r="U309" s="26" t="str">
        <f>IF(T309=1,COUNTIF($T$4:T309,1),"")</f>
        <v/>
      </c>
      <c r="V309" s="27" t="str">
        <f t="shared" si="24"/>
        <v/>
      </c>
      <c r="W309" s="27">
        <f t="shared" si="23"/>
        <v>0</v>
      </c>
      <c r="X309" s="28"/>
      <c r="Y309" s="27"/>
    </row>
    <row r="310" spans="1:25" ht="11.25" customHeight="1">
      <c r="A310" s="34"/>
      <c r="B310" s="24"/>
      <c r="C310" s="45"/>
      <c r="D310" s="24"/>
      <c r="E310" s="24"/>
      <c r="F310" s="25"/>
      <c r="G310" s="46"/>
      <c r="H310" s="46"/>
      <c r="I310" s="46"/>
      <c r="J310" s="24"/>
      <c r="K310" s="25"/>
      <c r="L310" s="25"/>
      <c r="M310" s="25"/>
      <c r="N310" s="25"/>
      <c r="O310" s="25"/>
      <c r="P310" s="25"/>
      <c r="Q310" s="25"/>
      <c r="R310" s="24"/>
      <c r="S310" s="26">
        <f t="shared" si="22"/>
        <v>0</v>
      </c>
      <c r="T310" s="26">
        <f>COUNTIF($V$4:V310,V310)</f>
        <v>267</v>
      </c>
      <c r="U310" s="26" t="str">
        <f>IF(T310=1,COUNTIF($T$4:T310,1),"")</f>
        <v/>
      </c>
      <c r="V310" s="27" t="str">
        <f t="shared" si="24"/>
        <v/>
      </c>
      <c r="W310" s="27">
        <f t="shared" si="23"/>
        <v>0</v>
      </c>
      <c r="X310" s="28"/>
      <c r="Y310" s="27"/>
    </row>
    <row r="311" spans="1:25" ht="11.25" customHeight="1">
      <c r="A311" s="34"/>
      <c r="B311" s="24"/>
      <c r="C311" s="45"/>
      <c r="D311" s="24"/>
      <c r="E311" s="24"/>
      <c r="F311" s="25"/>
      <c r="G311" s="46"/>
      <c r="H311" s="46"/>
      <c r="I311" s="46"/>
      <c r="J311" s="24"/>
      <c r="K311" s="25"/>
      <c r="L311" s="25"/>
      <c r="M311" s="25"/>
      <c r="N311" s="25"/>
      <c r="O311" s="25"/>
      <c r="P311" s="25"/>
      <c r="Q311" s="25"/>
      <c r="R311" s="24"/>
      <c r="S311" s="26">
        <f t="shared" si="22"/>
        <v>0</v>
      </c>
      <c r="T311" s="26">
        <f>COUNTIF($V$4:V311,V311)</f>
        <v>268</v>
      </c>
      <c r="U311" s="26" t="str">
        <f>IF(T311=1,COUNTIF($T$4:T311,1),"")</f>
        <v/>
      </c>
      <c r="V311" s="27" t="str">
        <f t="shared" si="24"/>
        <v/>
      </c>
      <c r="W311" s="27">
        <f t="shared" si="23"/>
        <v>0</v>
      </c>
      <c r="X311" s="28"/>
      <c r="Y311" s="27"/>
    </row>
    <row r="312" spans="1:25" ht="11.25" customHeight="1">
      <c r="A312" s="34"/>
      <c r="B312" s="24"/>
      <c r="C312" s="45"/>
      <c r="D312" s="24"/>
      <c r="E312" s="24"/>
      <c r="F312" s="25"/>
      <c r="G312" s="46"/>
      <c r="H312" s="46"/>
      <c r="I312" s="46"/>
      <c r="J312" s="24"/>
      <c r="K312" s="25"/>
      <c r="L312" s="25"/>
      <c r="M312" s="25"/>
      <c r="N312" s="25"/>
      <c r="O312" s="25"/>
      <c r="P312" s="25"/>
      <c r="Q312" s="25"/>
      <c r="R312" s="24"/>
      <c r="S312" s="26">
        <f t="shared" si="22"/>
        <v>0</v>
      </c>
      <c r="T312" s="26">
        <f>COUNTIF($V$4:V312,V312)</f>
        <v>269</v>
      </c>
      <c r="U312" s="26" t="str">
        <f>IF(T312=1,COUNTIF($T$4:T312,1),"")</f>
        <v/>
      </c>
      <c r="V312" s="27" t="str">
        <f t="shared" si="24"/>
        <v/>
      </c>
      <c r="W312" s="27">
        <f t="shared" si="23"/>
        <v>0</v>
      </c>
      <c r="X312" s="28"/>
      <c r="Y312" s="27"/>
    </row>
    <row r="313" spans="1:25" ht="11.25" customHeight="1">
      <c r="A313" s="34"/>
      <c r="B313" s="24"/>
      <c r="C313" s="45"/>
      <c r="D313" s="24"/>
      <c r="E313" s="24"/>
      <c r="F313" s="25"/>
      <c r="G313" s="46"/>
      <c r="H313" s="46"/>
      <c r="I313" s="46"/>
      <c r="J313" s="24"/>
      <c r="K313" s="25"/>
      <c r="L313" s="25"/>
      <c r="M313" s="25"/>
      <c r="N313" s="25"/>
      <c r="O313" s="25"/>
      <c r="P313" s="25"/>
      <c r="Q313" s="25"/>
      <c r="R313" s="24"/>
      <c r="S313" s="26">
        <f t="shared" si="22"/>
        <v>0</v>
      </c>
      <c r="T313" s="26">
        <f>COUNTIF($V$4:V313,V313)</f>
        <v>270</v>
      </c>
      <c r="U313" s="26" t="str">
        <f>IF(T313=1,COUNTIF($T$4:T313,1),"")</f>
        <v/>
      </c>
      <c r="V313" s="27" t="str">
        <f t="shared" si="24"/>
        <v/>
      </c>
      <c r="W313" s="27">
        <f t="shared" si="23"/>
        <v>0</v>
      </c>
      <c r="X313" s="28"/>
      <c r="Y313" s="27"/>
    </row>
    <row r="314" spans="1:25" ht="11.25" customHeight="1">
      <c r="A314" s="34"/>
      <c r="B314" s="24"/>
      <c r="C314" s="45"/>
      <c r="D314" s="24"/>
      <c r="E314" s="24"/>
      <c r="F314" s="25"/>
      <c r="G314" s="46"/>
      <c r="H314" s="46"/>
      <c r="I314" s="46"/>
      <c r="J314" s="24"/>
      <c r="K314" s="25"/>
      <c r="L314" s="25"/>
      <c r="M314" s="25"/>
      <c r="N314" s="25"/>
      <c r="O314" s="25"/>
      <c r="P314" s="25"/>
      <c r="Q314" s="25"/>
      <c r="R314" s="24"/>
      <c r="S314" s="26">
        <f t="shared" si="22"/>
        <v>0</v>
      </c>
      <c r="T314" s="26">
        <f>COUNTIF($V$4:V314,V314)</f>
        <v>271</v>
      </c>
      <c r="U314" s="26" t="str">
        <f>IF(T314=1,COUNTIF($T$4:T314,1),"")</f>
        <v/>
      </c>
      <c r="V314" s="27" t="str">
        <f t="shared" si="24"/>
        <v/>
      </c>
      <c r="W314" s="27">
        <f t="shared" si="23"/>
        <v>0</v>
      </c>
      <c r="X314" s="28"/>
      <c r="Y314" s="27"/>
    </row>
    <row r="315" spans="1:25" ht="11.25" customHeight="1">
      <c r="A315" s="34"/>
      <c r="B315" s="24"/>
      <c r="C315" s="45"/>
      <c r="D315" s="24"/>
      <c r="E315" s="24"/>
      <c r="F315" s="25"/>
      <c r="G315" s="46"/>
      <c r="H315" s="46"/>
      <c r="I315" s="46"/>
      <c r="J315" s="24"/>
      <c r="K315" s="25"/>
      <c r="L315" s="25"/>
      <c r="M315" s="25"/>
      <c r="N315" s="25"/>
      <c r="O315" s="25"/>
      <c r="P315" s="25"/>
      <c r="Q315" s="25"/>
      <c r="R315" s="24"/>
      <c r="S315" s="26">
        <f t="shared" si="22"/>
        <v>0</v>
      </c>
      <c r="T315" s="26">
        <f>COUNTIF($V$4:V315,V315)</f>
        <v>272</v>
      </c>
      <c r="U315" s="26" t="str">
        <f>IF(T315=1,COUNTIF($T$4:T315,1),"")</f>
        <v/>
      </c>
      <c r="V315" s="27" t="str">
        <f t="shared" si="24"/>
        <v/>
      </c>
      <c r="W315" s="27">
        <f t="shared" si="23"/>
        <v>0</v>
      </c>
      <c r="X315" s="28"/>
      <c r="Y315" s="27"/>
    </row>
    <row r="316" spans="1:25" ht="11.25" customHeight="1">
      <c r="A316" s="34"/>
      <c r="B316" s="24"/>
      <c r="C316" s="45"/>
      <c r="D316" s="24"/>
      <c r="E316" s="24"/>
      <c r="F316" s="25"/>
      <c r="G316" s="46"/>
      <c r="H316" s="46"/>
      <c r="I316" s="46"/>
      <c r="J316" s="24"/>
      <c r="K316" s="25"/>
      <c r="L316" s="25"/>
      <c r="M316" s="25"/>
      <c r="N316" s="25"/>
      <c r="O316" s="25"/>
      <c r="P316" s="25"/>
      <c r="Q316" s="25"/>
      <c r="R316" s="24"/>
      <c r="S316" s="26">
        <f t="shared" si="22"/>
        <v>0</v>
      </c>
      <c r="T316" s="26">
        <f>COUNTIF($V$4:V316,V316)</f>
        <v>273</v>
      </c>
      <c r="U316" s="26" t="str">
        <f>IF(T316=1,COUNTIF($T$4:T316,1),"")</f>
        <v/>
      </c>
      <c r="V316" s="27" t="str">
        <f t="shared" si="24"/>
        <v/>
      </c>
      <c r="W316" s="27">
        <f t="shared" si="23"/>
        <v>0</v>
      </c>
      <c r="X316" s="28"/>
      <c r="Y316" s="27"/>
    </row>
    <row r="317" spans="1:25" ht="11.25" customHeight="1">
      <c r="A317" s="34"/>
      <c r="B317" s="24"/>
      <c r="C317" s="45"/>
      <c r="D317" s="24"/>
      <c r="E317" s="24"/>
      <c r="F317" s="25"/>
      <c r="G317" s="46"/>
      <c r="H317" s="46"/>
      <c r="I317" s="46"/>
      <c r="J317" s="24"/>
      <c r="K317" s="25"/>
      <c r="L317" s="25"/>
      <c r="M317" s="25"/>
      <c r="N317" s="25"/>
      <c r="O317" s="25"/>
      <c r="P317" s="25"/>
      <c r="Q317" s="25"/>
      <c r="R317" s="24"/>
      <c r="S317" s="26">
        <f t="shared" si="22"/>
        <v>0</v>
      </c>
      <c r="T317" s="26">
        <f>COUNTIF($V$4:V317,V317)</f>
        <v>274</v>
      </c>
      <c r="U317" s="26" t="str">
        <f>IF(T317=1,COUNTIF($T$4:T317,1),"")</f>
        <v/>
      </c>
      <c r="V317" s="27" t="str">
        <f t="shared" si="24"/>
        <v/>
      </c>
      <c r="W317" s="27">
        <f t="shared" si="23"/>
        <v>0</v>
      </c>
      <c r="X317" s="28"/>
      <c r="Y317" s="27"/>
    </row>
    <row r="318" spans="1:25" ht="11.25" customHeight="1">
      <c r="A318" s="34"/>
      <c r="B318" s="24"/>
      <c r="C318" s="45"/>
      <c r="D318" s="24"/>
      <c r="E318" s="24"/>
      <c r="F318" s="25"/>
      <c r="G318" s="46"/>
      <c r="H318" s="46"/>
      <c r="I318" s="46"/>
      <c r="J318" s="24"/>
      <c r="K318" s="25"/>
      <c r="L318" s="25"/>
      <c r="M318" s="25"/>
      <c r="N318" s="25"/>
      <c r="O318" s="25"/>
      <c r="P318" s="25"/>
      <c r="Q318" s="25"/>
      <c r="R318" s="24"/>
      <c r="S318" s="26">
        <f t="shared" si="22"/>
        <v>0</v>
      </c>
      <c r="T318" s="26">
        <f>COUNTIF($V$4:V318,V318)</f>
        <v>275</v>
      </c>
      <c r="U318" s="26" t="str">
        <f>IF(T318=1,COUNTIF($T$4:T318,1),"")</f>
        <v/>
      </c>
      <c r="V318" s="27" t="str">
        <f t="shared" si="24"/>
        <v/>
      </c>
      <c r="W318" s="27">
        <f t="shared" si="23"/>
        <v>0</v>
      </c>
      <c r="X318" s="28"/>
      <c r="Y318" s="27"/>
    </row>
    <row r="319" spans="1:25" ht="11.25" customHeight="1">
      <c r="A319" s="34"/>
      <c r="B319" s="24"/>
      <c r="C319" s="45"/>
      <c r="D319" s="24"/>
      <c r="E319" s="24"/>
      <c r="F319" s="25"/>
      <c r="G319" s="46"/>
      <c r="H319" s="46"/>
      <c r="I319" s="46"/>
      <c r="J319" s="24"/>
      <c r="K319" s="25"/>
      <c r="L319" s="25"/>
      <c r="M319" s="25"/>
      <c r="N319" s="25"/>
      <c r="O319" s="25"/>
      <c r="P319" s="25"/>
      <c r="Q319" s="25"/>
      <c r="R319" s="24"/>
      <c r="S319" s="26">
        <f t="shared" si="22"/>
        <v>0</v>
      </c>
      <c r="T319" s="26">
        <f>COUNTIF($V$4:V319,V319)</f>
        <v>276</v>
      </c>
      <c r="U319" s="26" t="str">
        <f>IF(T319=1,COUNTIF($T$4:T319,1),"")</f>
        <v/>
      </c>
      <c r="V319" s="27" t="str">
        <f t="shared" si="24"/>
        <v/>
      </c>
      <c r="W319" s="27">
        <f t="shared" si="23"/>
        <v>0</v>
      </c>
      <c r="X319" s="28"/>
      <c r="Y319" s="27"/>
    </row>
    <row r="320" spans="1:25" ht="11.25" customHeight="1">
      <c r="A320" s="34"/>
      <c r="B320" s="24"/>
      <c r="C320" s="45"/>
      <c r="D320" s="24"/>
      <c r="E320" s="24"/>
      <c r="F320" s="25"/>
      <c r="G320" s="46"/>
      <c r="H320" s="46"/>
      <c r="I320" s="46"/>
      <c r="J320" s="24"/>
      <c r="K320" s="25"/>
      <c r="L320" s="25"/>
      <c r="M320" s="25"/>
      <c r="N320" s="25"/>
      <c r="O320" s="25"/>
      <c r="P320" s="25"/>
      <c r="Q320" s="25"/>
      <c r="R320" s="24"/>
      <c r="S320" s="26">
        <f t="shared" si="22"/>
        <v>0</v>
      </c>
      <c r="T320" s="26">
        <f>COUNTIF($V$4:V320,V320)</f>
        <v>277</v>
      </c>
      <c r="U320" s="26" t="str">
        <f>IF(T320=1,COUNTIF($T$4:T320,1),"")</f>
        <v/>
      </c>
      <c r="V320" s="27" t="str">
        <f t="shared" si="24"/>
        <v/>
      </c>
      <c r="W320" s="27">
        <f t="shared" si="23"/>
        <v>0</v>
      </c>
      <c r="X320" s="28"/>
      <c r="Y320" s="27"/>
    </row>
    <row r="321" spans="1:257" s="33" customFormat="1" ht="11.25" customHeight="1">
      <c r="A321" s="34"/>
      <c r="B321" s="24"/>
      <c r="C321" s="45"/>
      <c r="D321" s="24"/>
      <c r="E321" s="24"/>
      <c r="F321" s="25"/>
      <c r="G321" s="46"/>
      <c r="H321" s="46"/>
      <c r="I321" s="46"/>
      <c r="J321" s="24"/>
      <c r="K321" s="25"/>
      <c r="L321" s="25"/>
      <c r="M321" s="25"/>
      <c r="N321" s="25"/>
      <c r="O321" s="25"/>
      <c r="P321" s="25"/>
      <c r="Q321" s="25"/>
      <c r="R321" s="24"/>
      <c r="S321" s="26">
        <f t="shared" si="22"/>
        <v>0</v>
      </c>
      <c r="T321" s="26">
        <f>COUNTIF($V$4:V321,V321)</f>
        <v>278</v>
      </c>
      <c r="U321" s="26" t="str">
        <f>IF(T321=1,COUNTIF($T$4:T321,1),"")</f>
        <v/>
      </c>
      <c r="V321" s="27" t="str">
        <f t="shared" si="24"/>
        <v/>
      </c>
      <c r="W321" s="27">
        <f t="shared" si="23"/>
        <v>0</v>
      </c>
      <c r="X321" s="28"/>
      <c r="Y321" s="27"/>
      <c r="Z321" s="10"/>
      <c r="AA321" s="10"/>
      <c r="AB321" s="10"/>
      <c r="AC321" s="10"/>
      <c r="AD321" s="10"/>
      <c r="AE321" s="10"/>
      <c r="AF321" s="10"/>
      <c r="AG321" s="10"/>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c r="CA321" s="12"/>
      <c r="CB321" s="12"/>
      <c r="CC321" s="12"/>
      <c r="CD321" s="12"/>
      <c r="CE321" s="12"/>
      <c r="CF321" s="12"/>
      <c r="CG321" s="12"/>
      <c r="CH321" s="12"/>
      <c r="CI321" s="12"/>
      <c r="CJ321" s="12"/>
      <c r="CK321" s="12"/>
      <c r="CL321" s="12"/>
      <c r="CM321" s="12"/>
      <c r="CN321" s="12"/>
      <c r="CO321" s="12"/>
      <c r="CP321" s="12"/>
      <c r="CQ321" s="12"/>
      <c r="CR321" s="12"/>
      <c r="CS321" s="12"/>
      <c r="CT321" s="12"/>
      <c r="CU321" s="12"/>
      <c r="CV321" s="12"/>
      <c r="CW321" s="12"/>
      <c r="CX321" s="12"/>
      <c r="CY321" s="12"/>
      <c r="CZ321" s="12"/>
      <c r="DA321" s="12"/>
      <c r="DB321" s="12"/>
      <c r="DC321" s="12"/>
      <c r="DD321" s="12"/>
      <c r="DE321" s="12"/>
      <c r="DF321" s="12"/>
      <c r="DG321" s="12"/>
      <c r="DH321" s="12"/>
      <c r="DI321" s="12"/>
      <c r="DJ321" s="12"/>
      <c r="DK321" s="12"/>
      <c r="DL321" s="12"/>
      <c r="DM321" s="12"/>
      <c r="DN321" s="12"/>
      <c r="DO321" s="12"/>
      <c r="DP321" s="12"/>
      <c r="DQ321" s="12"/>
      <c r="DR321" s="12"/>
      <c r="DS321" s="12"/>
      <c r="DT321" s="12"/>
      <c r="DU321" s="12"/>
      <c r="DV321" s="12"/>
      <c r="DW321" s="12"/>
      <c r="DX321" s="12"/>
      <c r="DY321" s="12"/>
      <c r="DZ321" s="12"/>
      <c r="EA321" s="12"/>
      <c r="EB321" s="12"/>
      <c r="EC321" s="12"/>
      <c r="ED321" s="12"/>
      <c r="EE321" s="12"/>
      <c r="EF321" s="12"/>
      <c r="EG321" s="12"/>
      <c r="EH321" s="12"/>
      <c r="EI321" s="12"/>
      <c r="EJ321" s="12"/>
      <c r="EK321" s="12"/>
      <c r="EL321" s="12"/>
      <c r="EM321" s="12"/>
      <c r="EN321" s="12"/>
      <c r="EO321" s="12"/>
      <c r="EP321" s="12"/>
      <c r="EQ321" s="12"/>
      <c r="ER321" s="12"/>
      <c r="ES321" s="12"/>
      <c r="ET321" s="12"/>
      <c r="EU321" s="12"/>
      <c r="EV321" s="12"/>
      <c r="EW321" s="12"/>
      <c r="EX321" s="12"/>
      <c r="EY321" s="12"/>
      <c r="EZ321" s="12"/>
      <c r="FA321" s="12"/>
      <c r="FB321" s="12"/>
      <c r="FC321" s="12"/>
      <c r="FD321" s="12"/>
      <c r="FE321" s="12"/>
      <c r="FF321" s="12"/>
      <c r="FG321" s="12"/>
      <c r="FH321" s="12"/>
      <c r="FI321" s="12"/>
      <c r="FJ321" s="12"/>
      <c r="FK321" s="12"/>
      <c r="FL321" s="12"/>
      <c r="FM321" s="12"/>
      <c r="FN321" s="12"/>
      <c r="FO321" s="12"/>
      <c r="FP321" s="12"/>
      <c r="FQ321" s="12"/>
      <c r="FR321" s="12"/>
      <c r="FS321" s="12"/>
      <c r="FT321" s="12"/>
      <c r="FU321" s="12"/>
      <c r="FV321" s="12"/>
      <c r="FW321" s="12"/>
      <c r="FX321" s="12"/>
      <c r="FY321" s="12"/>
      <c r="FZ321" s="12"/>
      <c r="GA321" s="12"/>
      <c r="GB321" s="12"/>
      <c r="GC321" s="12"/>
      <c r="GD321" s="12"/>
      <c r="GE321" s="12"/>
      <c r="GF321" s="12"/>
      <c r="GG321" s="12"/>
      <c r="GH321" s="12"/>
      <c r="GI321" s="12"/>
      <c r="GJ321" s="12"/>
      <c r="GK321" s="12"/>
      <c r="GL321" s="12"/>
      <c r="GM321" s="12"/>
      <c r="GN321" s="12"/>
      <c r="GO321" s="12"/>
      <c r="GP321" s="12"/>
      <c r="GQ321" s="12"/>
      <c r="GR321" s="12"/>
      <c r="GS321" s="12"/>
      <c r="GT321" s="12"/>
      <c r="GU321" s="12"/>
      <c r="GV321" s="12"/>
      <c r="GW321" s="12"/>
      <c r="GX321" s="12"/>
      <c r="GY321" s="12"/>
      <c r="GZ321" s="12"/>
      <c r="HA321" s="12"/>
      <c r="HB321" s="12"/>
      <c r="HC321" s="12"/>
      <c r="HD321" s="12"/>
      <c r="HE321" s="12"/>
      <c r="HF321" s="12"/>
      <c r="HG321" s="12"/>
      <c r="HH321" s="12"/>
      <c r="HI321" s="12"/>
      <c r="HJ321" s="12"/>
      <c r="HK321" s="12"/>
      <c r="HL321" s="12"/>
      <c r="HM321" s="12"/>
      <c r="HN321" s="12"/>
      <c r="HO321" s="12"/>
      <c r="HP321" s="12"/>
      <c r="HQ321" s="12"/>
      <c r="HR321" s="12"/>
      <c r="HS321" s="12"/>
      <c r="HT321" s="12"/>
      <c r="HU321" s="12"/>
      <c r="HV321" s="12"/>
      <c r="HW321" s="12"/>
      <c r="HX321" s="12"/>
      <c r="HY321" s="12"/>
      <c r="HZ321" s="12"/>
      <c r="IA321" s="12"/>
      <c r="IB321" s="12"/>
      <c r="IC321" s="12"/>
      <c r="ID321" s="12"/>
      <c r="IE321" s="12"/>
      <c r="IF321" s="12"/>
      <c r="IG321" s="12"/>
      <c r="IH321" s="12"/>
      <c r="II321" s="12"/>
      <c r="IJ321" s="12"/>
      <c r="IK321" s="12"/>
      <c r="IL321" s="12"/>
      <c r="IM321" s="12"/>
      <c r="IN321" s="12"/>
      <c r="IO321" s="12"/>
      <c r="IP321" s="12"/>
      <c r="IQ321" s="12"/>
      <c r="IR321" s="12"/>
      <c r="IS321" s="12"/>
      <c r="IT321" s="12"/>
      <c r="IU321" s="12"/>
      <c r="IV321" s="12"/>
      <c r="IW321" s="12"/>
    </row>
    <row r="322" spans="1:257" ht="11.25" customHeight="1">
      <c r="A322" s="34"/>
      <c r="B322" s="24"/>
      <c r="C322" s="45"/>
      <c r="D322" s="24"/>
      <c r="E322" s="24"/>
      <c r="F322" s="25"/>
      <c r="G322" s="46"/>
      <c r="H322" s="46"/>
      <c r="I322" s="46"/>
      <c r="J322" s="24"/>
      <c r="K322" s="25"/>
      <c r="L322" s="25"/>
      <c r="M322" s="25"/>
      <c r="N322" s="25"/>
      <c r="O322" s="25"/>
      <c r="P322" s="25"/>
      <c r="Q322" s="25"/>
      <c r="R322" s="24"/>
      <c r="S322" s="26">
        <f t="shared" si="22"/>
        <v>0</v>
      </c>
      <c r="T322" s="26">
        <f>COUNTIF($V$4:V322,V322)</f>
        <v>279</v>
      </c>
      <c r="U322" s="26" t="str">
        <f>IF(T322=1,COUNTIF($T$4:T322,1),"")</f>
        <v/>
      </c>
      <c r="V322" s="27" t="str">
        <f t="shared" si="24"/>
        <v/>
      </c>
      <c r="W322" s="27">
        <f t="shared" si="23"/>
        <v>0</v>
      </c>
      <c r="X322" s="28"/>
      <c r="Y322" s="27"/>
      <c r="Z322" s="27"/>
      <c r="AA322" s="27"/>
      <c r="AB322" s="27"/>
      <c r="AC322" s="27"/>
      <c r="AD322" s="27"/>
      <c r="AE322" s="27"/>
      <c r="AF322" s="27"/>
      <c r="AG322" s="27"/>
    </row>
    <row r="323" spans="1:257" ht="11.25" customHeight="1">
      <c r="A323" s="34"/>
      <c r="B323" s="24"/>
      <c r="C323" s="45"/>
      <c r="D323" s="24"/>
      <c r="E323" s="24"/>
      <c r="F323" s="25"/>
      <c r="G323" s="46"/>
      <c r="H323" s="46"/>
      <c r="I323" s="46"/>
      <c r="J323" s="24"/>
      <c r="K323" s="25"/>
      <c r="L323" s="25"/>
      <c r="M323" s="25"/>
      <c r="N323" s="25"/>
      <c r="O323" s="25"/>
      <c r="P323" s="25"/>
      <c r="Q323" s="25"/>
      <c r="R323" s="24"/>
      <c r="S323" s="26">
        <f t="shared" si="22"/>
        <v>0</v>
      </c>
      <c r="T323" s="26">
        <f>COUNTIF($V$4:V323,V323)</f>
        <v>280</v>
      </c>
      <c r="U323" s="26" t="str">
        <f>IF(T323=1,COUNTIF($T$4:T323,1),"")</f>
        <v/>
      </c>
      <c r="V323" s="27" t="str">
        <f t="shared" si="24"/>
        <v/>
      </c>
      <c r="W323" s="27">
        <f t="shared" si="23"/>
        <v>0</v>
      </c>
      <c r="X323" s="28"/>
      <c r="Y323" s="27"/>
    </row>
    <row r="324" spans="1:257">
      <c r="A324" s="34"/>
      <c r="B324" s="24"/>
      <c r="C324" s="45"/>
      <c r="D324" s="24"/>
      <c r="E324" s="24"/>
      <c r="F324" s="25"/>
      <c r="G324" s="46"/>
      <c r="H324" s="46"/>
      <c r="I324" s="46"/>
      <c r="J324" s="24"/>
      <c r="K324" s="25"/>
      <c r="L324" s="25"/>
      <c r="M324" s="25"/>
      <c r="N324" s="25"/>
      <c r="O324" s="25"/>
      <c r="P324" s="25"/>
      <c r="Q324" s="25"/>
      <c r="R324" s="24"/>
      <c r="S324" s="26">
        <f t="shared" ref="S324:S387" si="25">A324</f>
        <v>0</v>
      </c>
      <c r="T324" s="26">
        <f>COUNTIF($V$4:V324,V324)</f>
        <v>281</v>
      </c>
      <c r="U324" s="26" t="str">
        <f>IF(T324=1,COUNTIF($T$4:T324,1),"")</f>
        <v/>
      </c>
      <c r="V324" s="27" t="str">
        <f t="shared" si="24"/>
        <v/>
      </c>
      <c r="W324" s="27">
        <f t="shared" ref="W324:W387" si="26">$F324</f>
        <v>0</v>
      </c>
      <c r="X324" s="28"/>
      <c r="Y324" s="27"/>
    </row>
    <row r="325" spans="1:257">
      <c r="A325" s="34"/>
      <c r="B325" s="24"/>
      <c r="C325" s="45"/>
      <c r="D325" s="24"/>
      <c r="E325" s="24"/>
      <c r="F325" s="25"/>
      <c r="G325" s="46"/>
      <c r="H325" s="46"/>
      <c r="I325" s="46"/>
      <c r="J325" s="24"/>
      <c r="K325" s="25"/>
      <c r="L325" s="25"/>
      <c r="M325" s="25"/>
      <c r="N325" s="25"/>
      <c r="O325" s="25"/>
      <c r="P325" s="25"/>
      <c r="Q325" s="25"/>
      <c r="R325" s="24"/>
      <c r="S325" s="26">
        <f t="shared" si="25"/>
        <v>0</v>
      </c>
      <c r="T325" s="26">
        <f>COUNTIF($V$4:V325,V325)</f>
        <v>282</v>
      </c>
      <c r="U325" s="26" t="str">
        <f>IF(T325=1,COUNTIF($T$4:T325,1),"")</f>
        <v/>
      </c>
      <c r="V325" s="27" t="str">
        <f t="shared" ref="V325:V388" si="27">$E325&amp;$C325</f>
        <v/>
      </c>
      <c r="W325" s="27">
        <f t="shared" si="26"/>
        <v>0</v>
      </c>
      <c r="X325" s="28"/>
      <c r="Y325" s="27"/>
    </row>
    <row r="326" spans="1:257">
      <c r="A326" s="34"/>
      <c r="B326" s="24"/>
      <c r="C326" s="45"/>
      <c r="D326" s="24"/>
      <c r="E326" s="24"/>
      <c r="F326" s="25"/>
      <c r="G326" s="46"/>
      <c r="H326" s="46"/>
      <c r="I326" s="46"/>
      <c r="J326" s="24"/>
      <c r="K326" s="25"/>
      <c r="L326" s="25"/>
      <c r="M326" s="25"/>
      <c r="N326" s="25"/>
      <c r="O326" s="25"/>
      <c r="P326" s="25"/>
      <c r="Q326" s="25"/>
      <c r="R326" s="24"/>
      <c r="S326" s="26">
        <f t="shared" si="25"/>
        <v>0</v>
      </c>
      <c r="T326" s="26">
        <f>COUNTIF($V$4:V326,V326)</f>
        <v>283</v>
      </c>
      <c r="U326" s="26" t="str">
        <f>IF(T326=1,COUNTIF($T$4:T326,1),"")</f>
        <v/>
      </c>
      <c r="V326" s="27" t="str">
        <f t="shared" si="27"/>
        <v/>
      </c>
      <c r="W326" s="27">
        <f t="shared" si="26"/>
        <v>0</v>
      </c>
      <c r="X326" s="28"/>
      <c r="Y326" s="27"/>
    </row>
    <row r="327" spans="1:257" ht="11.25" customHeight="1">
      <c r="A327" s="34"/>
      <c r="B327" s="24"/>
      <c r="C327" s="45"/>
      <c r="D327" s="24"/>
      <c r="E327" s="24"/>
      <c r="F327" s="25"/>
      <c r="G327" s="46"/>
      <c r="H327" s="46"/>
      <c r="I327" s="46"/>
      <c r="J327" s="24"/>
      <c r="K327" s="25"/>
      <c r="L327" s="25"/>
      <c r="M327" s="25"/>
      <c r="N327" s="25"/>
      <c r="O327" s="25"/>
      <c r="P327" s="25"/>
      <c r="Q327" s="25"/>
      <c r="R327" s="24"/>
      <c r="S327" s="26">
        <f t="shared" si="25"/>
        <v>0</v>
      </c>
      <c r="T327" s="26">
        <f>COUNTIF($V$4:V327,V327)</f>
        <v>284</v>
      </c>
      <c r="U327" s="26" t="str">
        <f>IF(T327=1,COUNTIF($T$4:T327,1),"")</f>
        <v/>
      </c>
      <c r="V327" s="27" t="str">
        <f t="shared" si="27"/>
        <v/>
      </c>
      <c r="W327" s="27">
        <f t="shared" si="26"/>
        <v>0</v>
      </c>
      <c r="X327" s="28"/>
      <c r="Y327" s="27"/>
    </row>
    <row r="328" spans="1:257" ht="11.25" customHeight="1">
      <c r="A328" s="34"/>
      <c r="B328" s="24"/>
      <c r="C328" s="45"/>
      <c r="D328" s="24"/>
      <c r="E328" s="24"/>
      <c r="F328" s="25"/>
      <c r="G328" s="46"/>
      <c r="H328" s="46"/>
      <c r="I328" s="46"/>
      <c r="J328" s="24"/>
      <c r="K328" s="48"/>
      <c r="L328" s="25"/>
      <c r="M328" s="25"/>
      <c r="N328" s="25"/>
      <c r="O328" s="25"/>
      <c r="P328" s="25"/>
      <c r="Q328" s="25"/>
      <c r="R328" s="49"/>
      <c r="S328" s="26">
        <f t="shared" si="25"/>
        <v>0</v>
      </c>
      <c r="T328" s="26">
        <f>COUNTIF($V$4:V328,V328)</f>
        <v>285</v>
      </c>
      <c r="U328" s="26" t="str">
        <f>IF(T328=1,COUNTIF($T$4:T328,1),"")</f>
        <v/>
      </c>
      <c r="V328" s="27" t="str">
        <f t="shared" si="27"/>
        <v/>
      </c>
      <c r="W328" s="27">
        <f t="shared" si="26"/>
        <v>0</v>
      </c>
      <c r="X328" s="28"/>
      <c r="Y328" s="27"/>
    </row>
    <row r="329" spans="1:257" ht="11.25" customHeight="1">
      <c r="A329" s="34"/>
      <c r="B329" s="24"/>
      <c r="C329" s="45"/>
      <c r="D329" s="24"/>
      <c r="E329" s="24"/>
      <c r="F329" s="25"/>
      <c r="G329" s="46"/>
      <c r="H329" s="46"/>
      <c r="I329" s="46"/>
      <c r="J329" s="24"/>
      <c r="K329" s="25"/>
      <c r="L329" s="25"/>
      <c r="M329" s="25"/>
      <c r="N329" s="25"/>
      <c r="O329" s="25"/>
      <c r="P329" s="25"/>
      <c r="Q329" s="25"/>
      <c r="R329" s="24"/>
      <c r="S329" s="26">
        <f t="shared" si="25"/>
        <v>0</v>
      </c>
      <c r="T329" s="26">
        <f>COUNTIF($V$4:V329,V329)</f>
        <v>286</v>
      </c>
      <c r="U329" s="26" t="str">
        <f>IF(T329=1,COUNTIF($T$4:T329,1),"")</f>
        <v/>
      </c>
      <c r="V329" s="27" t="str">
        <f t="shared" si="27"/>
        <v/>
      </c>
      <c r="W329" s="27">
        <f t="shared" si="26"/>
        <v>0</v>
      </c>
      <c r="X329" s="28"/>
      <c r="Y329" s="27"/>
    </row>
    <row r="330" spans="1:257">
      <c r="A330" s="34"/>
      <c r="B330" s="24"/>
      <c r="C330" s="45"/>
      <c r="D330" s="24"/>
      <c r="E330" s="24"/>
      <c r="F330" s="25"/>
      <c r="G330" s="46"/>
      <c r="H330" s="46"/>
      <c r="I330" s="46"/>
      <c r="J330" s="24"/>
      <c r="K330" s="25"/>
      <c r="L330" s="25"/>
      <c r="M330" s="25"/>
      <c r="N330" s="25"/>
      <c r="O330" s="25"/>
      <c r="P330" s="25"/>
      <c r="Q330" s="25"/>
      <c r="R330" s="24"/>
      <c r="S330" s="26">
        <f t="shared" si="25"/>
        <v>0</v>
      </c>
      <c r="T330" s="26">
        <f>COUNTIF($V$4:V330,V330)</f>
        <v>287</v>
      </c>
      <c r="U330" s="26" t="str">
        <f>IF(T330=1,COUNTIF($T$4:T330,1),"")</f>
        <v/>
      </c>
      <c r="V330" s="27" t="str">
        <f t="shared" si="27"/>
        <v/>
      </c>
      <c r="W330" s="27">
        <f t="shared" si="26"/>
        <v>0</v>
      </c>
      <c r="X330" s="28"/>
      <c r="Y330" s="27"/>
    </row>
    <row r="331" spans="1:257">
      <c r="A331" s="34"/>
      <c r="B331" s="24"/>
      <c r="C331" s="45"/>
      <c r="D331" s="24"/>
      <c r="E331" s="24"/>
      <c r="F331" s="25"/>
      <c r="G331" s="46"/>
      <c r="H331" s="46"/>
      <c r="I331" s="46"/>
      <c r="J331" s="24"/>
      <c r="K331" s="25"/>
      <c r="L331" s="25"/>
      <c r="M331" s="25"/>
      <c r="N331" s="25"/>
      <c r="O331" s="25"/>
      <c r="P331" s="25"/>
      <c r="Q331" s="25"/>
      <c r="R331" s="24"/>
      <c r="S331" s="26">
        <f t="shared" si="25"/>
        <v>0</v>
      </c>
      <c r="T331" s="26">
        <f>COUNTIF($V$4:V331,V331)</f>
        <v>288</v>
      </c>
      <c r="U331" s="26" t="str">
        <f>IF(T331=1,COUNTIF($T$4:T331,1),"")</f>
        <v/>
      </c>
      <c r="V331" s="27" t="str">
        <f t="shared" si="27"/>
        <v/>
      </c>
      <c r="W331" s="27">
        <f t="shared" si="26"/>
        <v>0</v>
      </c>
      <c r="X331" s="28"/>
      <c r="Y331" s="27"/>
    </row>
    <row r="332" spans="1:257" ht="11.25" customHeight="1">
      <c r="A332" s="34"/>
      <c r="B332" s="24"/>
      <c r="C332" s="45"/>
      <c r="D332" s="24"/>
      <c r="E332" s="24"/>
      <c r="F332" s="25"/>
      <c r="G332" s="46"/>
      <c r="H332" s="46"/>
      <c r="I332" s="46"/>
      <c r="J332" s="24"/>
      <c r="K332" s="25"/>
      <c r="L332" s="25"/>
      <c r="M332" s="25"/>
      <c r="N332" s="25"/>
      <c r="O332" s="25"/>
      <c r="P332" s="25"/>
      <c r="Q332" s="25"/>
      <c r="R332" s="24"/>
      <c r="S332" s="26">
        <f t="shared" si="25"/>
        <v>0</v>
      </c>
      <c r="T332" s="26">
        <f>COUNTIF($V$4:V332,V332)</f>
        <v>289</v>
      </c>
      <c r="U332" s="26" t="str">
        <f>IF(T332=1,COUNTIF($T$4:T332,1),"")</f>
        <v/>
      </c>
      <c r="V332" s="27" t="str">
        <f t="shared" si="27"/>
        <v/>
      </c>
      <c r="W332" s="27">
        <f t="shared" si="26"/>
        <v>0</v>
      </c>
      <c r="X332" s="28"/>
      <c r="Y332" s="27"/>
    </row>
    <row r="333" spans="1:257" ht="11.25" customHeight="1">
      <c r="A333" s="34"/>
      <c r="B333" s="24"/>
      <c r="C333" s="45"/>
      <c r="D333" s="24"/>
      <c r="E333" s="24"/>
      <c r="F333" s="25"/>
      <c r="G333" s="46"/>
      <c r="H333" s="46"/>
      <c r="I333" s="46"/>
      <c r="J333" s="24"/>
      <c r="K333" s="25"/>
      <c r="L333" s="25"/>
      <c r="M333" s="25"/>
      <c r="N333" s="25"/>
      <c r="O333" s="25"/>
      <c r="P333" s="25"/>
      <c r="Q333" s="25"/>
      <c r="R333" s="24"/>
      <c r="S333" s="26">
        <f t="shared" si="25"/>
        <v>0</v>
      </c>
      <c r="T333" s="26">
        <f>COUNTIF($V$4:V333,V333)</f>
        <v>290</v>
      </c>
      <c r="U333" s="26" t="str">
        <f>IF(T333=1,COUNTIF($T$4:T333,1),"")</f>
        <v/>
      </c>
      <c r="V333" s="27" t="str">
        <f t="shared" si="27"/>
        <v/>
      </c>
      <c r="W333" s="27">
        <f t="shared" si="26"/>
        <v>0</v>
      </c>
      <c r="X333" s="28"/>
      <c r="Y333" s="27"/>
    </row>
    <row r="334" spans="1:257" ht="11.25" customHeight="1">
      <c r="A334" s="34"/>
      <c r="B334" s="24"/>
      <c r="C334" s="24"/>
      <c r="D334" s="24"/>
      <c r="E334" s="24"/>
      <c r="F334" s="25"/>
      <c r="G334" s="25"/>
      <c r="H334" s="25"/>
      <c r="I334" s="25"/>
      <c r="J334" s="24"/>
      <c r="K334" s="25"/>
      <c r="L334" s="25"/>
      <c r="M334" s="25"/>
      <c r="N334" s="25"/>
      <c r="O334" s="25"/>
      <c r="P334" s="25"/>
      <c r="Q334" s="25"/>
      <c r="R334" s="24"/>
      <c r="S334" s="26">
        <f t="shared" si="25"/>
        <v>0</v>
      </c>
      <c r="T334" s="26">
        <f>COUNTIF($V$4:V334,V334)</f>
        <v>291</v>
      </c>
      <c r="U334" s="26" t="str">
        <f>IF(T334=1,COUNTIF($T$4:T334,1),"")</f>
        <v/>
      </c>
      <c r="V334" s="27" t="str">
        <f t="shared" si="27"/>
        <v/>
      </c>
      <c r="W334" s="27">
        <f t="shared" si="26"/>
        <v>0</v>
      </c>
      <c r="X334" s="28"/>
      <c r="Y334" s="27"/>
    </row>
    <row r="335" spans="1:257" ht="11.25" customHeight="1">
      <c r="A335" s="34"/>
      <c r="B335" s="24"/>
      <c r="C335" s="24"/>
      <c r="D335" s="24"/>
      <c r="E335" s="24"/>
      <c r="F335" s="25"/>
      <c r="G335" s="25"/>
      <c r="H335" s="25"/>
      <c r="I335" s="25"/>
      <c r="J335" s="24"/>
      <c r="K335" s="25"/>
      <c r="L335" s="25"/>
      <c r="M335" s="25"/>
      <c r="N335" s="25"/>
      <c r="O335" s="25"/>
      <c r="P335" s="25"/>
      <c r="Q335" s="25"/>
      <c r="R335" s="24"/>
      <c r="S335" s="26">
        <f t="shared" si="25"/>
        <v>0</v>
      </c>
      <c r="T335" s="26">
        <f>COUNTIF($V$4:V335,V335)</f>
        <v>292</v>
      </c>
      <c r="U335" s="26" t="str">
        <f>IF(T335=1,COUNTIF($T$4:T335,1),"")</f>
        <v/>
      </c>
      <c r="V335" s="27" t="str">
        <f t="shared" si="27"/>
        <v/>
      </c>
      <c r="W335" s="27">
        <f t="shared" si="26"/>
        <v>0</v>
      </c>
      <c r="X335" s="28"/>
      <c r="Y335" s="27"/>
    </row>
    <row r="336" spans="1:257" ht="11.25" customHeight="1">
      <c r="A336" s="34"/>
      <c r="B336" s="24"/>
      <c r="C336" s="24"/>
      <c r="D336" s="24"/>
      <c r="E336" s="24"/>
      <c r="F336" s="25"/>
      <c r="G336" s="25"/>
      <c r="H336" s="25"/>
      <c r="I336" s="25"/>
      <c r="J336" s="24"/>
      <c r="K336" s="25"/>
      <c r="L336" s="25"/>
      <c r="M336" s="25"/>
      <c r="N336" s="25"/>
      <c r="O336" s="25"/>
      <c r="P336" s="25"/>
      <c r="Q336" s="25"/>
      <c r="R336" s="24"/>
      <c r="S336" s="26">
        <f t="shared" si="25"/>
        <v>0</v>
      </c>
      <c r="T336" s="26">
        <f>COUNTIF($V$4:V336,V336)</f>
        <v>293</v>
      </c>
      <c r="U336" s="26" t="str">
        <f>IF(T336=1,COUNTIF($T$4:T336,1),"")</f>
        <v/>
      </c>
      <c r="V336" s="27" t="str">
        <f t="shared" si="27"/>
        <v/>
      </c>
      <c r="W336" s="27">
        <f t="shared" si="26"/>
        <v>0</v>
      </c>
      <c r="X336" s="28"/>
      <c r="Y336" s="27"/>
    </row>
    <row r="337" spans="1:257" ht="11.25" customHeight="1">
      <c r="A337" s="34"/>
      <c r="B337" s="24"/>
      <c r="C337" s="24"/>
      <c r="D337" s="24"/>
      <c r="E337" s="24"/>
      <c r="F337" s="25"/>
      <c r="G337" s="25"/>
      <c r="H337" s="25"/>
      <c r="I337" s="25"/>
      <c r="J337" s="24"/>
      <c r="K337" s="25"/>
      <c r="L337" s="25"/>
      <c r="M337" s="25"/>
      <c r="N337" s="25"/>
      <c r="O337" s="25"/>
      <c r="P337" s="25"/>
      <c r="Q337" s="25"/>
      <c r="R337" s="24"/>
      <c r="S337" s="26">
        <f t="shared" si="25"/>
        <v>0</v>
      </c>
      <c r="T337" s="26">
        <f>COUNTIF($V$4:V337,V337)</f>
        <v>294</v>
      </c>
      <c r="U337" s="26" t="str">
        <f>IF(T337=1,COUNTIF($T$4:T337,1),"")</f>
        <v/>
      </c>
      <c r="V337" s="27" t="str">
        <f t="shared" si="27"/>
        <v/>
      </c>
      <c r="W337" s="27">
        <f t="shared" si="26"/>
        <v>0</v>
      </c>
      <c r="X337" s="28"/>
      <c r="Y337" s="27"/>
    </row>
    <row r="338" spans="1:257" ht="11.25" customHeight="1">
      <c r="A338" s="34"/>
      <c r="B338" s="24"/>
      <c r="C338" s="24"/>
      <c r="D338" s="24"/>
      <c r="E338" s="24"/>
      <c r="F338" s="25"/>
      <c r="G338" s="25"/>
      <c r="H338" s="25"/>
      <c r="I338" s="25"/>
      <c r="J338" s="24"/>
      <c r="K338" s="25"/>
      <c r="L338" s="25"/>
      <c r="M338" s="25"/>
      <c r="N338" s="25"/>
      <c r="O338" s="25"/>
      <c r="P338" s="25"/>
      <c r="Q338" s="25"/>
      <c r="R338" s="24"/>
      <c r="S338" s="26">
        <f t="shared" si="25"/>
        <v>0</v>
      </c>
      <c r="T338" s="26">
        <f>COUNTIF($V$4:V338,V338)</f>
        <v>295</v>
      </c>
      <c r="U338" s="26" t="str">
        <f>IF(T338=1,COUNTIF($T$4:T338,1),"")</f>
        <v/>
      </c>
      <c r="V338" s="27" t="str">
        <f t="shared" si="27"/>
        <v/>
      </c>
      <c r="W338" s="27">
        <f t="shared" si="26"/>
        <v>0</v>
      </c>
      <c r="X338" s="28"/>
      <c r="Y338" s="27"/>
    </row>
    <row r="339" spans="1:257" ht="11.25" customHeight="1">
      <c r="A339" s="34"/>
      <c r="B339" s="24"/>
      <c r="C339" s="24"/>
      <c r="D339" s="24"/>
      <c r="E339" s="24"/>
      <c r="F339" s="25"/>
      <c r="G339" s="25"/>
      <c r="H339" s="25"/>
      <c r="I339" s="25"/>
      <c r="J339" s="24"/>
      <c r="K339" s="25"/>
      <c r="L339" s="25"/>
      <c r="M339" s="25"/>
      <c r="N339" s="25"/>
      <c r="O339" s="25"/>
      <c r="P339" s="25"/>
      <c r="Q339" s="25"/>
      <c r="R339" s="24"/>
      <c r="S339" s="26">
        <f t="shared" si="25"/>
        <v>0</v>
      </c>
      <c r="T339" s="26">
        <f>COUNTIF($V$4:V339,V339)</f>
        <v>296</v>
      </c>
      <c r="U339" s="26" t="str">
        <f>IF(T339=1,COUNTIF($T$4:T339,1),"")</f>
        <v/>
      </c>
      <c r="V339" s="27" t="str">
        <f t="shared" si="27"/>
        <v/>
      </c>
      <c r="W339" s="27">
        <f t="shared" si="26"/>
        <v>0</v>
      </c>
      <c r="X339" s="28"/>
      <c r="Y339" s="27"/>
    </row>
    <row r="340" spans="1:257" ht="11.25" customHeight="1">
      <c r="A340" s="34"/>
      <c r="B340" s="24"/>
      <c r="C340" s="24"/>
      <c r="D340" s="24"/>
      <c r="E340" s="24"/>
      <c r="F340" s="25"/>
      <c r="G340" s="25"/>
      <c r="H340" s="25"/>
      <c r="I340" s="25"/>
      <c r="J340" s="24"/>
      <c r="K340" s="25"/>
      <c r="L340" s="25"/>
      <c r="M340" s="25"/>
      <c r="N340" s="25"/>
      <c r="O340" s="25"/>
      <c r="P340" s="25"/>
      <c r="Q340" s="25"/>
      <c r="R340" s="24"/>
      <c r="S340" s="26">
        <f t="shared" si="25"/>
        <v>0</v>
      </c>
      <c r="T340" s="26">
        <f>COUNTIF($V$4:V340,V340)</f>
        <v>297</v>
      </c>
      <c r="U340" s="26" t="str">
        <f>IF(T340=1,COUNTIF($T$4:T340,1),"")</f>
        <v/>
      </c>
      <c r="V340" s="27" t="str">
        <f t="shared" si="27"/>
        <v/>
      </c>
      <c r="W340" s="27">
        <f t="shared" si="26"/>
        <v>0</v>
      </c>
      <c r="X340" s="28"/>
      <c r="Y340" s="27"/>
    </row>
    <row r="341" spans="1:257" ht="11.25" customHeight="1">
      <c r="A341" s="34"/>
      <c r="B341" s="24"/>
      <c r="C341" s="24"/>
      <c r="D341" s="24"/>
      <c r="E341" s="24"/>
      <c r="F341" s="25"/>
      <c r="G341" s="25"/>
      <c r="H341" s="25"/>
      <c r="I341" s="25"/>
      <c r="J341" s="24"/>
      <c r="K341" s="25"/>
      <c r="L341" s="25"/>
      <c r="M341" s="25"/>
      <c r="N341" s="25"/>
      <c r="O341" s="25"/>
      <c r="P341" s="25"/>
      <c r="Q341" s="25"/>
      <c r="R341" s="24"/>
      <c r="S341" s="26">
        <f t="shared" si="25"/>
        <v>0</v>
      </c>
      <c r="T341" s="26">
        <f>COUNTIF($V$4:V341,V341)</f>
        <v>298</v>
      </c>
      <c r="U341" s="26" t="str">
        <f>IF(T341=1,COUNTIF($T$4:T341,1),"")</f>
        <v/>
      </c>
      <c r="V341" s="27" t="str">
        <f t="shared" si="27"/>
        <v/>
      </c>
      <c r="W341" s="27">
        <f t="shared" si="26"/>
        <v>0</v>
      </c>
      <c r="X341" s="28"/>
      <c r="Y341" s="27"/>
    </row>
    <row r="342" spans="1:257" ht="11.25" customHeight="1">
      <c r="A342" s="34"/>
      <c r="B342" s="24"/>
      <c r="C342" s="24"/>
      <c r="D342" s="24"/>
      <c r="E342" s="24"/>
      <c r="F342" s="25"/>
      <c r="G342" s="25"/>
      <c r="H342" s="25"/>
      <c r="I342" s="25"/>
      <c r="J342" s="24"/>
      <c r="K342" s="25"/>
      <c r="L342" s="25"/>
      <c r="M342" s="25"/>
      <c r="N342" s="25"/>
      <c r="O342" s="25"/>
      <c r="P342" s="25"/>
      <c r="Q342" s="25"/>
      <c r="R342" s="24"/>
      <c r="S342" s="26">
        <f t="shared" si="25"/>
        <v>0</v>
      </c>
      <c r="T342" s="26">
        <f>COUNTIF($V$4:V342,V342)</f>
        <v>299</v>
      </c>
      <c r="U342" s="26" t="str">
        <f>IF(T342=1,COUNTIF($T$4:T342,1),"")</f>
        <v/>
      </c>
      <c r="V342" s="27" t="str">
        <f t="shared" si="27"/>
        <v/>
      </c>
      <c r="W342" s="27">
        <f t="shared" si="26"/>
        <v>0</v>
      </c>
      <c r="X342" s="28"/>
      <c r="Y342" s="27"/>
    </row>
    <row r="343" spans="1:257" ht="11.25" customHeight="1">
      <c r="A343" s="34"/>
      <c r="B343" s="24"/>
      <c r="C343" s="24"/>
      <c r="D343" s="24"/>
      <c r="E343" s="24"/>
      <c r="F343" s="25"/>
      <c r="G343" s="25"/>
      <c r="H343" s="25"/>
      <c r="I343" s="25"/>
      <c r="J343" s="24"/>
      <c r="K343" s="25"/>
      <c r="L343" s="25"/>
      <c r="M343" s="25"/>
      <c r="N343" s="25"/>
      <c r="O343" s="25"/>
      <c r="P343" s="25"/>
      <c r="Q343" s="25"/>
      <c r="R343" s="24"/>
      <c r="S343" s="26">
        <f t="shared" si="25"/>
        <v>0</v>
      </c>
      <c r="T343" s="26">
        <f>COUNTIF($V$4:V343,V343)</f>
        <v>300</v>
      </c>
      <c r="U343" s="26" t="str">
        <f>IF(T343=1,COUNTIF($T$4:T343,1),"")</f>
        <v/>
      </c>
      <c r="V343" s="27" t="str">
        <f t="shared" si="27"/>
        <v/>
      </c>
      <c r="W343" s="27">
        <f t="shared" si="26"/>
        <v>0</v>
      </c>
      <c r="X343" s="28"/>
      <c r="Y343" s="27"/>
    </row>
    <row r="344" spans="1:257" ht="11.25" customHeight="1">
      <c r="A344" s="34"/>
      <c r="B344" s="24"/>
      <c r="C344" s="24"/>
      <c r="D344" s="24"/>
      <c r="E344" s="24"/>
      <c r="F344" s="25"/>
      <c r="G344" s="25"/>
      <c r="H344" s="25"/>
      <c r="I344" s="25"/>
      <c r="J344" s="24"/>
      <c r="K344" s="25"/>
      <c r="L344" s="25"/>
      <c r="M344" s="25"/>
      <c r="N344" s="25"/>
      <c r="O344" s="25"/>
      <c r="P344" s="25"/>
      <c r="Q344" s="25"/>
      <c r="R344" s="24"/>
      <c r="S344" s="26">
        <f t="shared" si="25"/>
        <v>0</v>
      </c>
      <c r="T344" s="26">
        <f>COUNTIF($V$4:V344,V344)</f>
        <v>301</v>
      </c>
      <c r="U344" s="26" t="str">
        <f>IF(T344=1,COUNTIF($T$4:T344,1),"")</f>
        <v/>
      </c>
      <c r="V344" s="27" t="str">
        <f t="shared" si="27"/>
        <v/>
      </c>
      <c r="W344" s="27">
        <f t="shared" si="26"/>
        <v>0</v>
      </c>
      <c r="X344" s="28"/>
      <c r="Y344" s="27"/>
    </row>
    <row r="345" spans="1:257" ht="11.25" customHeight="1">
      <c r="A345" s="34"/>
      <c r="B345" s="24"/>
      <c r="C345" s="24"/>
      <c r="D345" s="24"/>
      <c r="E345" s="24"/>
      <c r="F345" s="25"/>
      <c r="G345" s="25"/>
      <c r="H345" s="25"/>
      <c r="I345" s="25"/>
      <c r="J345" s="24"/>
      <c r="K345" s="25"/>
      <c r="L345" s="25"/>
      <c r="M345" s="25"/>
      <c r="N345" s="25"/>
      <c r="O345" s="25"/>
      <c r="P345" s="25"/>
      <c r="Q345" s="25"/>
      <c r="R345" s="24"/>
      <c r="S345" s="26">
        <f t="shared" si="25"/>
        <v>0</v>
      </c>
      <c r="T345" s="26">
        <f>COUNTIF($V$4:V345,V345)</f>
        <v>302</v>
      </c>
      <c r="U345" s="26" t="str">
        <f>IF(T345=1,COUNTIF($T$4:T345,1),"")</f>
        <v/>
      </c>
      <c r="V345" s="27" t="str">
        <f t="shared" si="27"/>
        <v/>
      </c>
      <c r="W345" s="27">
        <f t="shared" si="26"/>
        <v>0</v>
      </c>
      <c r="X345" s="28"/>
      <c r="Y345" s="27"/>
    </row>
    <row r="346" spans="1:257" s="33" customFormat="1" ht="11.25" customHeight="1">
      <c r="A346" s="34"/>
      <c r="B346" s="24"/>
      <c r="C346" s="24"/>
      <c r="D346" s="24"/>
      <c r="E346" s="24"/>
      <c r="F346" s="25"/>
      <c r="G346" s="25"/>
      <c r="H346" s="25"/>
      <c r="I346" s="25"/>
      <c r="J346" s="24"/>
      <c r="K346" s="25"/>
      <c r="L346" s="25"/>
      <c r="M346" s="25"/>
      <c r="N346" s="25"/>
      <c r="O346" s="25"/>
      <c r="P346" s="25"/>
      <c r="Q346" s="25"/>
      <c r="R346" s="24"/>
      <c r="S346" s="26">
        <f t="shared" si="25"/>
        <v>0</v>
      </c>
      <c r="T346" s="26">
        <f>COUNTIF($V$4:V346,V346)</f>
        <v>303</v>
      </c>
      <c r="U346" s="26" t="str">
        <f>IF(T346=1,COUNTIF($T$4:T346,1),"")</f>
        <v/>
      </c>
      <c r="V346" s="27" t="str">
        <f t="shared" si="27"/>
        <v/>
      </c>
      <c r="W346" s="27">
        <f t="shared" si="26"/>
        <v>0</v>
      </c>
      <c r="X346" s="28"/>
      <c r="Y346" s="27"/>
      <c r="Z346" s="10"/>
      <c r="AA346" s="10"/>
      <c r="AB346" s="10"/>
      <c r="AC346" s="10"/>
      <c r="AD346" s="10"/>
      <c r="AE346" s="10"/>
      <c r="AF346" s="10"/>
      <c r="AG346" s="10"/>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c r="BX346" s="12"/>
      <c r="BY346" s="12"/>
      <c r="BZ346" s="12"/>
      <c r="CA346" s="12"/>
      <c r="CB346" s="12"/>
      <c r="CC346" s="12"/>
      <c r="CD346" s="12"/>
      <c r="CE346" s="12"/>
      <c r="CF346" s="12"/>
      <c r="CG346" s="12"/>
      <c r="CH346" s="12"/>
      <c r="CI346" s="12"/>
      <c r="CJ346" s="12"/>
      <c r="CK346" s="12"/>
      <c r="CL346" s="12"/>
      <c r="CM346" s="12"/>
      <c r="CN346" s="12"/>
      <c r="CO346" s="12"/>
      <c r="CP346" s="12"/>
      <c r="CQ346" s="12"/>
      <c r="CR346" s="12"/>
      <c r="CS346" s="12"/>
      <c r="CT346" s="12"/>
      <c r="CU346" s="12"/>
      <c r="CV346" s="12"/>
      <c r="CW346" s="12"/>
      <c r="CX346" s="12"/>
      <c r="CY346" s="12"/>
      <c r="CZ346" s="12"/>
      <c r="DA346" s="12"/>
      <c r="DB346" s="12"/>
      <c r="DC346" s="12"/>
      <c r="DD346" s="12"/>
      <c r="DE346" s="12"/>
      <c r="DF346" s="12"/>
      <c r="DG346" s="12"/>
      <c r="DH346" s="12"/>
      <c r="DI346" s="12"/>
      <c r="DJ346" s="12"/>
      <c r="DK346" s="12"/>
      <c r="DL346" s="12"/>
      <c r="DM346" s="12"/>
      <c r="DN346" s="12"/>
      <c r="DO346" s="12"/>
      <c r="DP346" s="12"/>
      <c r="DQ346" s="12"/>
      <c r="DR346" s="12"/>
      <c r="DS346" s="12"/>
      <c r="DT346" s="12"/>
      <c r="DU346" s="12"/>
      <c r="DV346" s="12"/>
      <c r="DW346" s="12"/>
      <c r="DX346" s="12"/>
      <c r="DY346" s="12"/>
      <c r="DZ346" s="12"/>
      <c r="EA346" s="12"/>
      <c r="EB346" s="12"/>
      <c r="EC346" s="12"/>
      <c r="ED346" s="12"/>
      <c r="EE346" s="12"/>
      <c r="EF346" s="12"/>
      <c r="EG346" s="12"/>
      <c r="EH346" s="12"/>
      <c r="EI346" s="12"/>
      <c r="EJ346" s="12"/>
      <c r="EK346" s="12"/>
      <c r="EL346" s="12"/>
      <c r="EM346" s="12"/>
      <c r="EN346" s="12"/>
      <c r="EO346" s="12"/>
      <c r="EP346" s="12"/>
      <c r="EQ346" s="12"/>
      <c r="ER346" s="12"/>
      <c r="ES346" s="12"/>
      <c r="ET346" s="12"/>
      <c r="EU346" s="12"/>
      <c r="EV346" s="12"/>
      <c r="EW346" s="12"/>
      <c r="EX346" s="12"/>
      <c r="EY346" s="12"/>
      <c r="EZ346" s="12"/>
      <c r="FA346" s="12"/>
      <c r="FB346" s="12"/>
      <c r="FC346" s="12"/>
      <c r="FD346" s="12"/>
      <c r="FE346" s="12"/>
      <c r="FF346" s="12"/>
      <c r="FG346" s="12"/>
      <c r="FH346" s="12"/>
      <c r="FI346" s="12"/>
      <c r="FJ346" s="12"/>
      <c r="FK346" s="12"/>
      <c r="FL346" s="12"/>
      <c r="FM346" s="12"/>
      <c r="FN346" s="12"/>
      <c r="FO346" s="12"/>
      <c r="FP346" s="12"/>
      <c r="FQ346" s="12"/>
      <c r="FR346" s="12"/>
      <c r="FS346" s="12"/>
      <c r="FT346" s="12"/>
      <c r="FU346" s="12"/>
      <c r="FV346" s="12"/>
      <c r="FW346" s="12"/>
      <c r="FX346" s="12"/>
      <c r="FY346" s="12"/>
      <c r="FZ346" s="12"/>
      <c r="GA346" s="12"/>
      <c r="GB346" s="12"/>
      <c r="GC346" s="12"/>
      <c r="GD346" s="12"/>
      <c r="GE346" s="12"/>
      <c r="GF346" s="12"/>
      <c r="GG346" s="12"/>
      <c r="GH346" s="12"/>
      <c r="GI346" s="12"/>
      <c r="GJ346" s="12"/>
      <c r="GK346" s="12"/>
      <c r="GL346" s="12"/>
      <c r="GM346" s="12"/>
      <c r="GN346" s="12"/>
      <c r="GO346" s="12"/>
      <c r="GP346" s="12"/>
      <c r="GQ346" s="12"/>
      <c r="GR346" s="12"/>
      <c r="GS346" s="12"/>
      <c r="GT346" s="12"/>
      <c r="GU346" s="12"/>
      <c r="GV346" s="12"/>
      <c r="GW346" s="12"/>
      <c r="GX346" s="12"/>
      <c r="GY346" s="12"/>
      <c r="GZ346" s="12"/>
      <c r="HA346" s="12"/>
      <c r="HB346" s="12"/>
      <c r="HC346" s="12"/>
      <c r="HD346" s="12"/>
      <c r="HE346" s="12"/>
      <c r="HF346" s="12"/>
      <c r="HG346" s="12"/>
      <c r="HH346" s="12"/>
      <c r="HI346" s="12"/>
      <c r="HJ346" s="12"/>
      <c r="HK346" s="12"/>
      <c r="HL346" s="12"/>
      <c r="HM346" s="12"/>
      <c r="HN346" s="12"/>
      <c r="HO346" s="12"/>
      <c r="HP346" s="12"/>
      <c r="HQ346" s="12"/>
      <c r="HR346" s="12"/>
      <c r="HS346" s="12"/>
      <c r="HT346" s="12"/>
      <c r="HU346" s="12"/>
      <c r="HV346" s="12"/>
      <c r="HW346" s="12"/>
      <c r="HX346" s="12"/>
      <c r="HY346" s="12"/>
      <c r="HZ346" s="12"/>
      <c r="IA346" s="12"/>
      <c r="IB346" s="12"/>
      <c r="IC346" s="12"/>
      <c r="ID346" s="12"/>
      <c r="IE346" s="12"/>
      <c r="IF346" s="12"/>
      <c r="IG346" s="12"/>
      <c r="IH346" s="12"/>
      <c r="II346" s="12"/>
      <c r="IJ346" s="12"/>
      <c r="IK346" s="12"/>
      <c r="IL346" s="12"/>
      <c r="IM346" s="12"/>
      <c r="IN346" s="12"/>
      <c r="IO346" s="12"/>
      <c r="IP346" s="12"/>
      <c r="IQ346" s="12"/>
      <c r="IR346" s="12"/>
      <c r="IS346" s="12"/>
      <c r="IT346" s="12"/>
      <c r="IU346" s="12"/>
      <c r="IV346" s="12"/>
      <c r="IW346" s="12"/>
    </row>
    <row r="347" spans="1:257" ht="11.25" customHeight="1">
      <c r="A347" s="34"/>
      <c r="B347" s="24"/>
      <c r="C347" s="24"/>
      <c r="D347" s="24"/>
      <c r="E347" s="24"/>
      <c r="F347" s="25"/>
      <c r="G347" s="25"/>
      <c r="H347" s="25"/>
      <c r="I347" s="25"/>
      <c r="J347" s="24"/>
      <c r="K347" s="25"/>
      <c r="L347" s="25"/>
      <c r="M347" s="25"/>
      <c r="N347" s="25"/>
      <c r="O347" s="25"/>
      <c r="P347" s="25"/>
      <c r="Q347" s="25"/>
      <c r="R347" s="24"/>
      <c r="S347" s="26">
        <f t="shared" si="25"/>
        <v>0</v>
      </c>
      <c r="T347" s="26">
        <f>COUNTIF($V$4:V347,V347)</f>
        <v>304</v>
      </c>
      <c r="U347" s="26" t="str">
        <f>IF(T347=1,COUNTIF($T$4:T347,1),"")</f>
        <v/>
      </c>
      <c r="V347" s="27" t="str">
        <f t="shared" si="27"/>
        <v/>
      </c>
      <c r="W347" s="27">
        <f t="shared" si="26"/>
        <v>0</v>
      </c>
      <c r="X347" s="28"/>
      <c r="Y347" s="27"/>
      <c r="Z347" s="27"/>
      <c r="AA347" s="27"/>
      <c r="AB347" s="27"/>
      <c r="AC347" s="27"/>
      <c r="AD347" s="27"/>
      <c r="AE347" s="27"/>
      <c r="AF347" s="27"/>
      <c r="AG347" s="27"/>
    </row>
    <row r="348" spans="1:257" ht="11.25" customHeight="1">
      <c r="A348" s="34"/>
      <c r="B348" s="24"/>
      <c r="C348" s="24"/>
      <c r="D348" s="24"/>
      <c r="E348" s="24"/>
      <c r="F348" s="25"/>
      <c r="G348" s="25"/>
      <c r="H348" s="25"/>
      <c r="I348" s="25"/>
      <c r="J348" s="24"/>
      <c r="K348" s="25"/>
      <c r="L348" s="25"/>
      <c r="M348" s="25"/>
      <c r="N348" s="25"/>
      <c r="O348" s="25"/>
      <c r="P348" s="25"/>
      <c r="Q348" s="25"/>
      <c r="R348" s="24"/>
      <c r="S348" s="26">
        <f t="shared" si="25"/>
        <v>0</v>
      </c>
      <c r="T348" s="26">
        <f>COUNTIF($V$4:V348,V348)</f>
        <v>305</v>
      </c>
      <c r="U348" s="26" t="str">
        <f>IF(T348=1,COUNTIF($T$4:T348,1),"")</f>
        <v/>
      </c>
      <c r="V348" s="27" t="str">
        <f t="shared" si="27"/>
        <v/>
      </c>
      <c r="W348" s="27">
        <f t="shared" si="26"/>
        <v>0</v>
      </c>
      <c r="X348" s="28"/>
      <c r="Y348" s="27"/>
    </row>
    <row r="349" spans="1:257" s="33" customFormat="1" ht="11.25" customHeight="1">
      <c r="A349" s="34"/>
      <c r="B349" s="24"/>
      <c r="C349" s="24"/>
      <c r="D349" s="24"/>
      <c r="E349" s="24"/>
      <c r="F349" s="25"/>
      <c r="G349" s="25"/>
      <c r="H349" s="25"/>
      <c r="I349" s="25"/>
      <c r="J349" s="24"/>
      <c r="K349" s="25"/>
      <c r="L349" s="25"/>
      <c r="M349" s="25"/>
      <c r="N349" s="25"/>
      <c r="O349" s="25"/>
      <c r="P349" s="25"/>
      <c r="Q349" s="25"/>
      <c r="R349" s="24"/>
      <c r="S349" s="26">
        <f t="shared" si="25"/>
        <v>0</v>
      </c>
      <c r="T349" s="26">
        <f>COUNTIF($V$4:V349,V349)</f>
        <v>306</v>
      </c>
      <c r="U349" s="26" t="str">
        <f>IF(T349=1,COUNTIF($T$4:T349,1),"")</f>
        <v/>
      </c>
      <c r="V349" s="27" t="str">
        <f t="shared" si="27"/>
        <v/>
      </c>
      <c r="W349" s="27">
        <f t="shared" si="26"/>
        <v>0</v>
      </c>
      <c r="X349" s="28"/>
      <c r="Y349" s="27"/>
      <c r="Z349" s="10"/>
      <c r="AA349" s="10"/>
      <c r="AB349" s="10"/>
      <c r="AC349" s="10"/>
      <c r="AD349" s="10"/>
      <c r="AE349" s="10"/>
      <c r="AF349" s="10"/>
      <c r="AG349" s="10"/>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c r="CA349" s="12"/>
      <c r="CB349" s="12"/>
      <c r="CC349" s="12"/>
      <c r="CD349" s="12"/>
      <c r="CE349" s="12"/>
      <c r="CF349" s="12"/>
      <c r="CG349" s="12"/>
      <c r="CH349" s="12"/>
      <c r="CI349" s="12"/>
      <c r="CJ349" s="12"/>
      <c r="CK349" s="12"/>
      <c r="CL349" s="12"/>
      <c r="CM349" s="12"/>
      <c r="CN349" s="12"/>
      <c r="CO349" s="12"/>
      <c r="CP349" s="12"/>
      <c r="CQ349" s="12"/>
      <c r="CR349" s="12"/>
      <c r="CS349" s="12"/>
      <c r="CT349" s="12"/>
      <c r="CU349" s="12"/>
      <c r="CV349" s="12"/>
      <c r="CW349" s="12"/>
      <c r="CX349" s="12"/>
      <c r="CY349" s="12"/>
      <c r="CZ349" s="12"/>
      <c r="DA349" s="12"/>
      <c r="DB349" s="12"/>
      <c r="DC349" s="12"/>
      <c r="DD349" s="12"/>
      <c r="DE349" s="12"/>
      <c r="DF349" s="12"/>
      <c r="DG349" s="12"/>
      <c r="DH349" s="12"/>
      <c r="DI349" s="12"/>
      <c r="DJ349" s="12"/>
      <c r="DK349" s="12"/>
      <c r="DL349" s="12"/>
      <c r="DM349" s="12"/>
      <c r="DN349" s="12"/>
      <c r="DO349" s="12"/>
      <c r="DP349" s="12"/>
      <c r="DQ349" s="12"/>
      <c r="DR349" s="12"/>
      <c r="DS349" s="12"/>
      <c r="DT349" s="12"/>
      <c r="DU349" s="12"/>
      <c r="DV349" s="12"/>
      <c r="DW349" s="12"/>
      <c r="DX349" s="12"/>
      <c r="DY349" s="12"/>
      <c r="DZ349" s="12"/>
      <c r="EA349" s="12"/>
      <c r="EB349" s="12"/>
      <c r="EC349" s="12"/>
      <c r="ED349" s="12"/>
      <c r="EE349" s="12"/>
      <c r="EF349" s="12"/>
      <c r="EG349" s="12"/>
      <c r="EH349" s="12"/>
      <c r="EI349" s="12"/>
      <c r="EJ349" s="12"/>
      <c r="EK349" s="12"/>
      <c r="EL349" s="12"/>
      <c r="EM349" s="12"/>
      <c r="EN349" s="12"/>
      <c r="EO349" s="12"/>
      <c r="EP349" s="12"/>
      <c r="EQ349" s="12"/>
      <c r="ER349" s="12"/>
      <c r="ES349" s="12"/>
      <c r="ET349" s="12"/>
      <c r="EU349" s="12"/>
      <c r="EV349" s="12"/>
      <c r="EW349" s="12"/>
      <c r="EX349" s="12"/>
      <c r="EY349" s="12"/>
      <c r="EZ349" s="12"/>
      <c r="FA349" s="12"/>
      <c r="FB349" s="12"/>
      <c r="FC349" s="12"/>
      <c r="FD349" s="12"/>
      <c r="FE349" s="12"/>
      <c r="FF349" s="12"/>
      <c r="FG349" s="12"/>
      <c r="FH349" s="12"/>
      <c r="FI349" s="12"/>
      <c r="FJ349" s="12"/>
      <c r="FK349" s="12"/>
      <c r="FL349" s="12"/>
      <c r="FM349" s="12"/>
      <c r="FN349" s="12"/>
      <c r="FO349" s="12"/>
      <c r="FP349" s="12"/>
      <c r="FQ349" s="12"/>
      <c r="FR349" s="12"/>
      <c r="FS349" s="12"/>
      <c r="FT349" s="12"/>
      <c r="FU349" s="12"/>
      <c r="FV349" s="12"/>
      <c r="FW349" s="12"/>
      <c r="FX349" s="12"/>
      <c r="FY349" s="12"/>
      <c r="FZ349" s="12"/>
      <c r="GA349" s="12"/>
      <c r="GB349" s="12"/>
      <c r="GC349" s="12"/>
      <c r="GD349" s="12"/>
      <c r="GE349" s="12"/>
      <c r="GF349" s="12"/>
      <c r="GG349" s="12"/>
      <c r="GH349" s="12"/>
      <c r="GI349" s="12"/>
      <c r="GJ349" s="12"/>
      <c r="GK349" s="12"/>
      <c r="GL349" s="12"/>
      <c r="GM349" s="12"/>
      <c r="GN349" s="12"/>
      <c r="GO349" s="12"/>
      <c r="GP349" s="12"/>
      <c r="GQ349" s="12"/>
      <c r="GR349" s="12"/>
      <c r="GS349" s="12"/>
      <c r="GT349" s="12"/>
      <c r="GU349" s="12"/>
      <c r="GV349" s="12"/>
      <c r="GW349" s="12"/>
      <c r="GX349" s="12"/>
      <c r="GY349" s="12"/>
      <c r="GZ349" s="12"/>
      <c r="HA349" s="12"/>
      <c r="HB349" s="12"/>
      <c r="HC349" s="12"/>
      <c r="HD349" s="12"/>
      <c r="HE349" s="12"/>
      <c r="HF349" s="12"/>
      <c r="HG349" s="12"/>
      <c r="HH349" s="12"/>
      <c r="HI349" s="12"/>
      <c r="HJ349" s="12"/>
      <c r="HK349" s="12"/>
      <c r="HL349" s="12"/>
      <c r="HM349" s="12"/>
      <c r="HN349" s="12"/>
      <c r="HO349" s="12"/>
      <c r="HP349" s="12"/>
      <c r="HQ349" s="12"/>
      <c r="HR349" s="12"/>
      <c r="HS349" s="12"/>
      <c r="HT349" s="12"/>
      <c r="HU349" s="12"/>
      <c r="HV349" s="12"/>
      <c r="HW349" s="12"/>
      <c r="HX349" s="12"/>
      <c r="HY349" s="12"/>
      <c r="HZ349" s="12"/>
      <c r="IA349" s="12"/>
      <c r="IB349" s="12"/>
      <c r="IC349" s="12"/>
      <c r="ID349" s="12"/>
      <c r="IE349" s="12"/>
      <c r="IF349" s="12"/>
      <c r="IG349" s="12"/>
      <c r="IH349" s="12"/>
      <c r="II349" s="12"/>
      <c r="IJ349" s="12"/>
      <c r="IK349" s="12"/>
      <c r="IL349" s="12"/>
      <c r="IM349" s="12"/>
      <c r="IN349" s="12"/>
      <c r="IO349" s="12"/>
      <c r="IP349" s="12"/>
      <c r="IQ349" s="12"/>
      <c r="IR349" s="12"/>
      <c r="IS349" s="12"/>
      <c r="IT349" s="12"/>
      <c r="IU349" s="12"/>
      <c r="IV349" s="12"/>
      <c r="IW349" s="12"/>
    </row>
    <row r="350" spans="1:257" ht="11.25" customHeight="1">
      <c r="A350" s="34"/>
      <c r="B350" s="24"/>
      <c r="C350" s="24"/>
      <c r="D350" s="24"/>
      <c r="E350" s="24"/>
      <c r="F350" s="25"/>
      <c r="G350" s="25"/>
      <c r="H350" s="25"/>
      <c r="I350" s="25"/>
      <c r="J350" s="24"/>
      <c r="K350" s="25"/>
      <c r="L350" s="25"/>
      <c r="M350" s="25"/>
      <c r="N350" s="25"/>
      <c r="O350" s="25"/>
      <c r="P350" s="25"/>
      <c r="Q350" s="25"/>
      <c r="R350" s="24"/>
      <c r="S350" s="26">
        <f t="shared" si="25"/>
        <v>0</v>
      </c>
      <c r="T350" s="26">
        <f>COUNTIF($V$4:V350,V350)</f>
        <v>307</v>
      </c>
      <c r="U350" s="26" t="str">
        <f>IF(T350=1,COUNTIF($T$4:T350,1),"")</f>
        <v/>
      </c>
      <c r="V350" s="27" t="str">
        <f t="shared" si="27"/>
        <v/>
      </c>
      <c r="W350" s="27">
        <f t="shared" si="26"/>
        <v>0</v>
      </c>
      <c r="X350" s="28"/>
      <c r="Y350" s="27"/>
      <c r="Z350" s="27"/>
      <c r="AA350" s="27"/>
      <c r="AB350" s="27"/>
      <c r="AC350" s="27"/>
      <c r="AD350" s="27"/>
      <c r="AE350" s="27"/>
      <c r="AF350" s="27"/>
      <c r="AG350" s="27"/>
    </row>
    <row r="351" spans="1:257" ht="11.25" customHeight="1">
      <c r="A351" s="34"/>
      <c r="B351" s="24"/>
      <c r="C351" s="24"/>
      <c r="D351" s="24"/>
      <c r="E351" s="24"/>
      <c r="F351" s="25"/>
      <c r="G351" s="25"/>
      <c r="H351" s="25"/>
      <c r="I351" s="25"/>
      <c r="J351" s="24"/>
      <c r="K351" s="25"/>
      <c r="L351" s="25"/>
      <c r="M351" s="25"/>
      <c r="N351" s="25"/>
      <c r="O351" s="25"/>
      <c r="P351" s="25"/>
      <c r="Q351" s="25"/>
      <c r="R351" s="24"/>
      <c r="S351" s="26">
        <f t="shared" si="25"/>
        <v>0</v>
      </c>
      <c r="T351" s="26">
        <f>COUNTIF($V$4:V351,V351)</f>
        <v>308</v>
      </c>
      <c r="U351" s="26" t="str">
        <f>IF(T351=1,COUNTIF($T$4:T351,1),"")</f>
        <v/>
      </c>
      <c r="V351" s="27" t="str">
        <f t="shared" si="27"/>
        <v/>
      </c>
      <c r="W351" s="27">
        <f t="shared" si="26"/>
        <v>0</v>
      </c>
      <c r="X351" s="28"/>
      <c r="Y351" s="27"/>
    </row>
    <row r="352" spans="1:257" ht="11.25" customHeight="1">
      <c r="A352" s="34"/>
      <c r="B352" s="24"/>
      <c r="C352" s="24"/>
      <c r="D352" s="24"/>
      <c r="E352" s="24"/>
      <c r="F352" s="25"/>
      <c r="G352" s="25"/>
      <c r="H352" s="25"/>
      <c r="I352" s="25"/>
      <c r="J352" s="24"/>
      <c r="K352" s="25"/>
      <c r="L352" s="25"/>
      <c r="M352" s="25"/>
      <c r="N352" s="25"/>
      <c r="O352" s="25"/>
      <c r="P352" s="25"/>
      <c r="Q352" s="25"/>
      <c r="R352" s="24"/>
      <c r="S352" s="26">
        <f t="shared" si="25"/>
        <v>0</v>
      </c>
      <c r="T352" s="26">
        <f>COUNTIF($V$4:V352,V352)</f>
        <v>309</v>
      </c>
      <c r="U352" s="26" t="str">
        <f>IF(T352=1,COUNTIF($T$4:T352,1),"")</f>
        <v/>
      </c>
      <c r="V352" s="27" t="str">
        <f t="shared" si="27"/>
        <v/>
      </c>
      <c r="W352" s="27">
        <f t="shared" si="26"/>
        <v>0</v>
      </c>
      <c r="X352" s="28"/>
      <c r="Y352" s="27"/>
    </row>
    <row r="353" spans="1:257" ht="11.25" customHeight="1">
      <c r="A353" s="34"/>
      <c r="B353" s="24"/>
      <c r="C353" s="24"/>
      <c r="D353" s="24"/>
      <c r="E353" s="24"/>
      <c r="F353" s="25"/>
      <c r="G353" s="25"/>
      <c r="H353" s="25"/>
      <c r="I353" s="25"/>
      <c r="J353" s="24"/>
      <c r="K353" s="25"/>
      <c r="L353" s="25"/>
      <c r="M353" s="25"/>
      <c r="N353" s="25"/>
      <c r="O353" s="25"/>
      <c r="P353" s="25"/>
      <c r="Q353" s="25"/>
      <c r="R353" s="24"/>
      <c r="S353" s="26">
        <f t="shared" si="25"/>
        <v>0</v>
      </c>
      <c r="T353" s="26">
        <f>COUNTIF($V$4:V353,V353)</f>
        <v>310</v>
      </c>
      <c r="U353" s="26" t="str">
        <f>IF(T353=1,COUNTIF($T$4:T353,1),"")</f>
        <v/>
      </c>
      <c r="V353" s="27" t="str">
        <f t="shared" si="27"/>
        <v/>
      </c>
      <c r="W353" s="27">
        <f t="shared" si="26"/>
        <v>0</v>
      </c>
      <c r="X353" s="28"/>
      <c r="Y353" s="27"/>
    </row>
    <row r="354" spans="1:257" ht="11.25" customHeight="1">
      <c r="A354" s="34"/>
      <c r="B354" s="24"/>
      <c r="C354" s="24"/>
      <c r="D354" s="24"/>
      <c r="E354" s="24"/>
      <c r="F354" s="25"/>
      <c r="G354" s="25"/>
      <c r="H354" s="25"/>
      <c r="I354" s="25"/>
      <c r="J354" s="24"/>
      <c r="K354" s="25"/>
      <c r="L354" s="25"/>
      <c r="M354" s="25"/>
      <c r="N354" s="25"/>
      <c r="O354" s="25"/>
      <c r="P354" s="25"/>
      <c r="Q354" s="25"/>
      <c r="R354" s="24"/>
      <c r="S354" s="26">
        <f t="shared" si="25"/>
        <v>0</v>
      </c>
      <c r="T354" s="26">
        <f>COUNTIF($V$4:V354,V354)</f>
        <v>311</v>
      </c>
      <c r="U354" s="26" t="str">
        <f>IF(T354=1,COUNTIF($T$4:T354,1),"")</f>
        <v/>
      </c>
      <c r="V354" s="27" t="str">
        <f t="shared" si="27"/>
        <v/>
      </c>
      <c r="W354" s="27">
        <f t="shared" si="26"/>
        <v>0</v>
      </c>
      <c r="X354" s="28"/>
      <c r="Y354" s="27"/>
    </row>
    <row r="355" spans="1:257" ht="11.25" customHeight="1">
      <c r="A355" s="34"/>
      <c r="B355" s="24"/>
      <c r="C355" s="24"/>
      <c r="D355" s="24"/>
      <c r="E355" s="24"/>
      <c r="F355" s="25"/>
      <c r="G355" s="25"/>
      <c r="H355" s="25"/>
      <c r="I355" s="25"/>
      <c r="J355" s="24"/>
      <c r="K355" s="25"/>
      <c r="L355" s="25"/>
      <c r="M355" s="25"/>
      <c r="N355" s="25"/>
      <c r="O355" s="25"/>
      <c r="P355" s="25"/>
      <c r="Q355" s="25"/>
      <c r="R355" s="24"/>
      <c r="S355" s="26">
        <f t="shared" si="25"/>
        <v>0</v>
      </c>
      <c r="T355" s="26">
        <f>COUNTIF($V$4:V355,V355)</f>
        <v>312</v>
      </c>
      <c r="U355" s="26" t="str">
        <f>IF(T355=1,COUNTIF($T$4:T355,1),"")</f>
        <v/>
      </c>
      <c r="V355" s="27" t="str">
        <f t="shared" si="27"/>
        <v/>
      </c>
      <c r="W355" s="27">
        <f t="shared" si="26"/>
        <v>0</v>
      </c>
      <c r="X355" s="28"/>
      <c r="Y355" s="27"/>
    </row>
    <row r="356" spans="1:257" ht="11.25" customHeight="1">
      <c r="A356" s="34"/>
      <c r="B356" s="24"/>
      <c r="C356" s="24"/>
      <c r="D356" s="24"/>
      <c r="E356" s="24"/>
      <c r="F356" s="25"/>
      <c r="G356" s="25"/>
      <c r="H356" s="25"/>
      <c r="I356" s="25"/>
      <c r="J356" s="24"/>
      <c r="K356" s="25"/>
      <c r="L356" s="25"/>
      <c r="M356" s="25"/>
      <c r="N356" s="25"/>
      <c r="O356" s="25"/>
      <c r="P356" s="25"/>
      <c r="Q356" s="25"/>
      <c r="R356" s="24"/>
      <c r="S356" s="26">
        <f t="shared" si="25"/>
        <v>0</v>
      </c>
      <c r="T356" s="26">
        <f>COUNTIF($V$4:V356,V356)</f>
        <v>313</v>
      </c>
      <c r="U356" s="26" t="str">
        <f>IF(T356=1,COUNTIF($T$4:T356,1),"")</f>
        <v/>
      </c>
      <c r="V356" s="27" t="str">
        <f t="shared" si="27"/>
        <v/>
      </c>
      <c r="W356" s="27">
        <f t="shared" si="26"/>
        <v>0</v>
      </c>
      <c r="X356" s="28"/>
      <c r="Y356" s="27"/>
    </row>
    <row r="357" spans="1:257" ht="11.25" customHeight="1">
      <c r="A357" s="34"/>
      <c r="B357" s="24"/>
      <c r="C357" s="24"/>
      <c r="D357" s="24"/>
      <c r="E357" s="24"/>
      <c r="F357" s="25"/>
      <c r="G357" s="25"/>
      <c r="H357" s="25"/>
      <c r="I357" s="25"/>
      <c r="J357" s="24"/>
      <c r="K357" s="25"/>
      <c r="L357" s="25"/>
      <c r="M357" s="25"/>
      <c r="N357" s="25"/>
      <c r="O357" s="25"/>
      <c r="P357" s="25"/>
      <c r="Q357" s="25"/>
      <c r="R357" s="24"/>
      <c r="S357" s="26">
        <f t="shared" si="25"/>
        <v>0</v>
      </c>
      <c r="T357" s="26">
        <f>COUNTIF($V$4:V357,V357)</f>
        <v>314</v>
      </c>
      <c r="U357" s="26" t="str">
        <f>IF(T357=1,COUNTIF($T$4:T357,1),"")</f>
        <v/>
      </c>
      <c r="V357" s="27" t="str">
        <f t="shared" si="27"/>
        <v/>
      </c>
      <c r="W357" s="27">
        <f t="shared" si="26"/>
        <v>0</v>
      </c>
      <c r="X357" s="28"/>
      <c r="Y357" s="27"/>
    </row>
    <row r="358" spans="1:257" ht="11.25" customHeight="1">
      <c r="A358" s="34"/>
      <c r="B358" s="24"/>
      <c r="C358" s="24"/>
      <c r="D358" s="24"/>
      <c r="E358" s="24"/>
      <c r="F358" s="25"/>
      <c r="G358" s="25"/>
      <c r="H358" s="25"/>
      <c r="I358" s="25"/>
      <c r="J358" s="24"/>
      <c r="K358" s="25"/>
      <c r="L358" s="25"/>
      <c r="M358" s="25"/>
      <c r="N358" s="25"/>
      <c r="O358" s="25"/>
      <c r="P358" s="25"/>
      <c r="Q358" s="25"/>
      <c r="R358" s="24"/>
      <c r="S358" s="26">
        <f t="shared" si="25"/>
        <v>0</v>
      </c>
      <c r="T358" s="26">
        <f>COUNTIF($V$4:V358,V358)</f>
        <v>315</v>
      </c>
      <c r="U358" s="26" t="str">
        <f>IF(T358=1,COUNTIF($T$4:T358,1),"")</f>
        <v/>
      </c>
      <c r="V358" s="27" t="str">
        <f t="shared" si="27"/>
        <v/>
      </c>
      <c r="W358" s="27">
        <f t="shared" si="26"/>
        <v>0</v>
      </c>
      <c r="X358" s="28"/>
      <c r="Y358" s="27"/>
    </row>
    <row r="359" spans="1:257" ht="11.25" customHeight="1">
      <c r="A359" s="34"/>
      <c r="B359" s="24"/>
      <c r="C359" s="24"/>
      <c r="D359" s="24"/>
      <c r="E359" s="24"/>
      <c r="F359" s="25"/>
      <c r="G359" s="25"/>
      <c r="H359" s="25"/>
      <c r="I359" s="25"/>
      <c r="J359" s="24"/>
      <c r="K359" s="25"/>
      <c r="L359" s="25"/>
      <c r="M359" s="25"/>
      <c r="N359" s="25"/>
      <c r="O359" s="25"/>
      <c r="P359" s="25"/>
      <c r="Q359" s="25"/>
      <c r="R359" s="24"/>
      <c r="S359" s="26">
        <f t="shared" si="25"/>
        <v>0</v>
      </c>
      <c r="T359" s="26">
        <f>COUNTIF($V$4:V359,V359)</f>
        <v>316</v>
      </c>
      <c r="U359" s="26" t="str">
        <f>IF(T359=1,COUNTIF($T$4:T359,1),"")</f>
        <v/>
      </c>
      <c r="V359" s="27" t="str">
        <f t="shared" si="27"/>
        <v/>
      </c>
      <c r="W359" s="27">
        <f t="shared" si="26"/>
        <v>0</v>
      </c>
      <c r="X359" s="28"/>
      <c r="Y359" s="27"/>
    </row>
    <row r="360" spans="1:257" ht="11.25" customHeight="1">
      <c r="A360" s="34"/>
      <c r="B360" s="24"/>
      <c r="C360" s="24"/>
      <c r="D360" s="24"/>
      <c r="E360" s="24"/>
      <c r="F360" s="25"/>
      <c r="G360" s="25"/>
      <c r="H360" s="25"/>
      <c r="I360" s="25"/>
      <c r="J360" s="25"/>
      <c r="K360" s="25"/>
      <c r="L360" s="25"/>
      <c r="M360" s="25"/>
      <c r="N360" s="25"/>
      <c r="O360" s="25"/>
      <c r="P360" s="25"/>
      <c r="Q360" s="25"/>
      <c r="R360" s="24"/>
      <c r="S360" s="26">
        <f t="shared" si="25"/>
        <v>0</v>
      </c>
      <c r="T360" s="26">
        <f>COUNTIF($V$4:V360,V360)</f>
        <v>317</v>
      </c>
      <c r="U360" s="26" t="str">
        <f>IF(T360=1,COUNTIF($T$4:T360,1),"")</f>
        <v/>
      </c>
      <c r="V360" s="27" t="str">
        <f t="shared" si="27"/>
        <v/>
      </c>
      <c r="W360" s="27">
        <f t="shared" si="26"/>
        <v>0</v>
      </c>
      <c r="X360" s="28"/>
      <c r="Y360" s="27"/>
    </row>
    <row r="361" spans="1:257" ht="11.25" customHeight="1">
      <c r="A361" s="34"/>
      <c r="B361" s="24"/>
      <c r="C361" s="24"/>
      <c r="D361" s="24"/>
      <c r="E361" s="24"/>
      <c r="F361" s="25"/>
      <c r="G361" s="25"/>
      <c r="H361" s="25"/>
      <c r="I361" s="25"/>
      <c r="J361" s="25"/>
      <c r="K361" s="25"/>
      <c r="L361" s="25"/>
      <c r="M361" s="25"/>
      <c r="N361" s="25"/>
      <c r="O361" s="25"/>
      <c r="P361" s="25"/>
      <c r="Q361" s="25"/>
      <c r="R361" s="24"/>
      <c r="S361" s="26">
        <f t="shared" si="25"/>
        <v>0</v>
      </c>
      <c r="T361" s="26">
        <f>COUNTIF($V$4:V361,V361)</f>
        <v>318</v>
      </c>
      <c r="U361" s="26" t="str">
        <f>IF(T361=1,COUNTIF($T$4:T361,1),"")</f>
        <v/>
      </c>
      <c r="V361" s="27" t="str">
        <f t="shared" si="27"/>
        <v/>
      </c>
      <c r="W361" s="27">
        <f t="shared" si="26"/>
        <v>0</v>
      </c>
      <c r="X361" s="28"/>
      <c r="Y361" s="27"/>
    </row>
    <row r="362" spans="1:257" ht="11.25" customHeight="1">
      <c r="A362" s="34"/>
      <c r="B362" s="24"/>
      <c r="C362" s="24"/>
      <c r="D362" s="24"/>
      <c r="E362" s="24"/>
      <c r="F362" s="25"/>
      <c r="G362" s="25"/>
      <c r="H362" s="25"/>
      <c r="I362" s="25"/>
      <c r="J362" s="25"/>
      <c r="K362" s="25"/>
      <c r="L362" s="25"/>
      <c r="M362" s="25"/>
      <c r="N362" s="25"/>
      <c r="O362" s="25"/>
      <c r="P362" s="25"/>
      <c r="Q362" s="25"/>
      <c r="R362" s="24"/>
      <c r="S362" s="26">
        <f t="shared" si="25"/>
        <v>0</v>
      </c>
      <c r="T362" s="26">
        <f>COUNTIF($V$4:V362,V362)</f>
        <v>319</v>
      </c>
      <c r="U362" s="26" t="str">
        <f>IF(T362=1,COUNTIF($T$4:T362,1),"")</f>
        <v/>
      </c>
      <c r="V362" s="27" t="str">
        <f t="shared" si="27"/>
        <v/>
      </c>
      <c r="W362" s="27">
        <f t="shared" si="26"/>
        <v>0</v>
      </c>
      <c r="X362" s="28"/>
      <c r="Y362" s="27"/>
    </row>
    <row r="363" spans="1:257" ht="11.25" customHeight="1">
      <c r="A363" s="34"/>
      <c r="B363" s="24"/>
      <c r="C363" s="24"/>
      <c r="D363" s="24"/>
      <c r="E363" s="24"/>
      <c r="F363" s="25"/>
      <c r="G363" s="25"/>
      <c r="H363" s="25"/>
      <c r="I363" s="25"/>
      <c r="J363" s="25"/>
      <c r="K363" s="25"/>
      <c r="L363" s="25"/>
      <c r="M363" s="25"/>
      <c r="N363" s="25"/>
      <c r="O363" s="25"/>
      <c r="P363" s="25"/>
      <c r="Q363" s="25"/>
      <c r="R363" s="24"/>
      <c r="S363" s="26">
        <f t="shared" si="25"/>
        <v>0</v>
      </c>
      <c r="T363" s="26">
        <f>COUNTIF($V$4:V363,V363)</f>
        <v>320</v>
      </c>
      <c r="U363" s="26" t="str">
        <f>IF(T363=1,COUNTIF($T$4:T363,1),"")</f>
        <v/>
      </c>
      <c r="V363" s="27" t="str">
        <f t="shared" si="27"/>
        <v/>
      </c>
      <c r="W363" s="27">
        <f t="shared" si="26"/>
        <v>0</v>
      </c>
      <c r="X363" s="28"/>
      <c r="Y363" s="27"/>
    </row>
    <row r="364" spans="1:257" s="33" customFormat="1" ht="11.25" customHeight="1">
      <c r="A364" s="34"/>
      <c r="B364" s="24"/>
      <c r="C364" s="24"/>
      <c r="D364" s="24"/>
      <c r="E364" s="24"/>
      <c r="F364" s="25"/>
      <c r="G364" s="25"/>
      <c r="H364" s="25"/>
      <c r="I364" s="25"/>
      <c r="J364" s="25"/>
      <c r="K364" s="25"/>
      <c r="L364" s="25"/>
      <c r="M364" s="25"/>
      <c r="N364" s="25"/>
      <c r="O364" s="25"/>
      <c r="P364" s="25"/>
      <c r="Q364" s="25"/>
      <c r="R364" s="24"/>
      <c r="S364" s="26">
        <f t="shared" si="25"/>
        <v>0</v>
      </c>
      <c r="T364" s="26">
        <f>COUNTIF($V$4:V364,V364)</f>
        <v>321</v>
      </c>
      <c r="U364" s="26" t="str">
        <f>IF(T364=1,COUNTIF($T$4:T364,1),"")</f>
        <v/>
      </c>
      <c r="V364" s="27" t="str">
        <f t="shared" si="27"/>
        <v/>
      </c>
      <c r="W364" s="27">
        <f t="shared" si="26"/>
        <v>0</v>
      </c>
      <c r="X364" s="28"/>
      <c r="Y364" s="27"/>
      <c r="Z364" s="10"/>
      <c r="AA364" s="10"/>
      <c r="AB364" s="10"/>
      <c r="AC364" s="10"/>
      <c r="AD364" s="10"/>
      <c r="AE364" s="10"/>
      <c r="AF364" s="10"/>
      <c r="AG364" s="10"/>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c r="BY364" s="12"/>
      <c r="BZ364" s="12"/>
      <c r="CA364" s="12"/>
      <c r="CB364" s="12"/>
      <c r="CC364" s="12"/>
      <c r="CD364" s="12"/>
      <c r="CE364" s="12"/>
      <c r="CF364" s="12"/>
      <c r="CG364" s="12"/>
      <c r="CH364" s="12"/>
      <c r="CI364" s="12"/>
      <c r="CJ364" s="12"/>
      <c r="CK364" s="12"/>
      <c r="CL364" s="12"/>
      <c r="CM364" s="12"/>
      <c r="CN364" s="12"/>
      <c r="CO364" s="12"/>
      <c r="CP364" s="12"/>
      <c r="CQ364" s="12"/>
      <c r="CR364" s="12"/>
      <c r="CS364" s="12"/>
      <c r="CT364" s="12"/>
      <c r="CU364" s="12"/>
      <c r="CV364" s="12"/>
      <c r="CW364" s="12"/>
      <c r="CX364" s="12"/>
      <c r="CY364" s="12"/>
      <c r="CZ364" s="12"/>
      <c r="DA364" s="12"/>
      <c r="DB364" s="12"/>
      <c r="DC364" s="12"/>
      <c r="DD364" s="12"/>
      <c r="DE364" s="12"/>
      <c r="DF364" s="12"/>
      <c r="DG364" s="12"/>
      <c r="DH364" s="12"/>
      <c r="DI364" s="12"/>
      <c r="DJ364" s="12"/>
      <c r="DK364" s="12"/>
      <c r="DL364" s="12"/>
      <c r="DM364" s="12"/>
      <c r="DN364" s="12"/>
      <c r="DO364" s="12"/>
      <c r="DP364" s="12"/>
      <c r="DQ364" s="12"/>
      <c r="DR364" s="12"/>
      <c r="DS364" s="12"/>
      <c r="DT364" s="12"/>
      <c r="DU364" s="12"/>
      <c r="DV364" s="12"/>
      <c r="DW364" s="12"/>
      <c r="DX364" s="12"/>
      <c r="DY364" s="12"/>
      <c r="DZ364" s="12"/>
      <c r="EA364" s="12"/>
      <c r="EB364" s="12"/>
      <c r="EC364" s="12"/>
      <c r="ED364" s="12"/>
      <c r="EE364" s="12"/>
      <c r="EF364" s="12"/>
      <c r="EG364" s="12"/>
      <c r="EH364" s="12"/>
      <c r="EI364" s="12"/>
      <c r="EJ364" s="12"/>
      <c r="EK364" s="12"/>
      <c r="EL364" s="12"/>
      <c r="EM364" s="12"/>
      <c r="EN364" s="12"/>
      <c r="EO364" s="12"/>
      <c r="EP364" s="12"/>
      <c r="EQ364" s="12"/>
      <c r="ER364" s="12"/>
      <c r="ES364" s="12"/>
      <c r="ET364" s="12"/>
      <c r="EU364" s="12"/>
      <c r="EV364" s="12"/>
      <c r="EW364" s="12"/>
      <c r="EX364" s="12"/>
      <c r="EY364" s="12"/>
      <c r="EZ364" s="12"/>
      <c r="FA364" s="12"/>
      <c r="FB364" s="12"/>
      <c r="FC364" s="12"/>
      <c r="FD364" s="12"/>
      <c r="FE364" s="12"/>
      <c r="FF364" s="12"/>
      <c r="FG364" s="12"/>
      <c r="FH364" s="12"/>
      <c r="FI364" s="12"/>
      <c r="FJ364" s="12"/>
      <c r="FK364" s="12"/>
      <c r="FL364" s="12"/>
      <c r="FM364" s="12"/>
      <c r="FN364" s="12"/>
      <c r="FO364" s="12"/>
      <c r="FP364" s="12"/>
      <c r="FQ364" s="12"/>
      <c r="FR364" s="12"/>
      <c r="FS364" s="12"/>
      <c r="FT364" s="12"/>
      <c r="FU364" s="12"/>
      <c r="FV364" s="12"/>
      <c r="FW364" s="12"/>
      <c r="FX364" s="12"/>
      <c r="FY364" s="12"/>
      <c r="FZ364" s="12"/>
      <c r="GA364" s="12"/>
      <c r="GB364" s="12"/>
      <c r="GC364" s="12"/>
      <c r="GD364" s="12"/>
      <c r="GE364" s="12"/>
      <c r="GF364" s="12"/>
      <c r="GG364" s="12"/>
      <c r="GH364" s="12"/>
      <c r="GI364" s="12"/>
      <c r="GJ364" s="12"/>
      <c r="GK364" s="12"/>
      <c r="GL364" s="12"/>
      <c r="GM364" s="12"/>
      <c r="GN364" s="12"/>
      <c r="GO364" s="12"/>
      <c r="GP364" s="12"/>
      <c r="GQ364" s="12"/>
      <c r="GR364" s="12"/>
      <c r="GS364" s="12"/>
      <c r="GT364" s="12"/>
      <c r="GU364" s="12"/>
      <c r="GV364" s="12"/>
      <c r="GW364" s="12"/>
      <c r="GX364" s="12"/>
      <c r="GY364" s="12"/>
      <c r="GZ364" s="12"/>
      <c r="HA364" s="12"/>
      <c r="HB364" s="12"/>
      <c r="HC364" s="12"/>
      <c r="HD364" s="12"/>
      <c r="HE364" s="12"/>
      <c r="HF364" s="12"/>
      <c r="HG364" s="12"/>
      <c r="HH364" s="12"/>
      <c r="HI364" s="12"/>
      <c r="HJ364" s="12"/>
      <c r="HK364" s="12"/>
      <c r="HL364" s="12"/>
      <c r="HM364" s="12"/>
      <c r="HN364" s="12"/>
      <c r="HO364" s="12"/>
      <c r="HP364" s="12"/>
      <c r="HQ364" s="12"/>
      <c r="HR364" s="12"/>
      <c r="HS364" s="12"/>
      <c r="HT364" s="12"/>
      <c r="HU364" s="12"/>
      <c r="HV364" s="12"/>
      <c r="HW364" s="12"/>
      <c r="HX364" s="12"/>
      <c r="HY364" s="12"/>
      <c r="HZ364" s="12"/>
      <c r="IA364" s="12"/>
      <c r="IB364" s="12"/>
      <c r="IC364" s="12"/>
      <c r="ID364" s="12"/>
      <c r="IE364" s="12"/>
      <c r="IF364" s="12"/>
      <c r="IG364" s="12"/>
      <c r="IH364" s="12"/>
      <c r="II364" s="12"/>
      <c r="IJ364" s="12"/>
      <c r="IK364" s="12"/>
      <c r="IL364" s="12"/>
      <c r="IM364" s="12"/>
      <c r="IN364" s="12"/>
      <c r="IO364" s="12"/>
      <c r="IP364" s="12"/>
      <c r="IQ364" s="12"/>
      <c r="IR364" s="12"/>
      <c r="IS364" s="12"/>
      <c r="IT364" s="12"/>
      <c r="IU364" s="12"/>
      <c r="IV364" s="12"/>
      <c r="IW364" s="12"/>
    </row>
    <row r="365" spans="1:257" ht="11.25" customHeight="1">
      <c r="A365" s="34"/>
      <c r="B365" s="24"/>
      <c r="C365" s="24"/>
      <c r="D365" s="24"/>
      <c r="E365" s="24"/>
      <c r="F365" s="25"/>
      <c r="G365" s="25"/>
      <c r="H365" s="25"/>
      <c r="I365" s="25"/>
      <c r="J365" s="25"/>
      <c r="K365" s="25"/>
      <c r="L365" s="25"/>
      <c r="M365" s="25"/>
      <c r="N365" s="25"/>
      <c r="O365" s="25"/>
      <c r="P365" s="25"/>
      <c r="Q365" s="25"/>
      <c r="R365" s="24"/>
      <c r="S365" s="26">
        <f t="shared" si="25"/>
        <v>0</v>
      </c>
      <c r="T365" s="26">
        <f>COUNTIF($V$4:V365,V365)</f>
        <v>322</v>
      </c>
      <c r="U365" s="26" t="str">
        <f>IF(T365=1,COUNTIF($T$4:T365,1),"")</f>
        <v/>
      </c>
      <c r="V365" s="27" t="str">
        <f t="shared" si="27"/>
        <v/>
      </c>
      <c r="W365" s="27">
        <f t="shared" si="26"/>
        <v>0</v>
      </c>
      <c r="X365" s="28"/>
      <c r="Y365" s="27"/>
      <c r="Z365" s="27"/>
      <c r="AA365" s="27"/>
      <c r="AB365" s="27"/>
      <c r="AC365" s="27"/>
      <c r="AD365" s="27"/>
      <c r="AE365" s="27"/>
      <c r="AF365" s="27"/>
      <c r="AG365" s="27"/>
    </row>
    <row r="366" spans="1:257" ht="11.25" customHeight="1">
      <c r="A366" s="34"/>
      <c r="B366" s="24"/>
      <c r="C366" s="24"/>
      <c r="D366" s="24"/>
      <c r="E366" s="24"/>
      <c r="F366" s="25"/>
      <c r="G366" s="25"/>
      <c r="H366" s="25"/>
      <c r="I366" s="25"/>
      <c r="J366" s="25"/>
      <c r="K366" s="25"/>
      <c r="L366" s="25"/>
      <c r="M366" s="25"/>
      <c r="N366" s="25"/>
      <c r="O366" s="25"/>
      <c r="P366" s="25"/>
      <c r="Q366" s="25"/>
      <c r="R366" s="24"/>
      <c r="S366" s="26">
        <f t="shared" si="25"/>
        <v>0</v>
      </c>
      <c r="T366" s="26">
        <f>COUNTIF($V$4:V366,V366)</f>
        <v>323</v>
      </c>
      <c r="U366" s="26" t="str">
        <f>IF(T366=1,COUNTIF($T$4:T366,1),"")</f>
        <v/>
      </c>
      <c r="V366" s="27" t="str">
        <f t="shared" si="27"/>
        <v/>
      </c>
      <c r="W366" s="27">
        <f t="shared" si="26"/>
        <v>0</v>
      </c>
      <c r="X366" s="28"/>
      <c r="Y366" s="27"/>
    </row>
    <row r="367" spans="1:257" ht="11.25" customHeight="1">
      <c r="A367" s="34"/>
      <c r="B367" s="24"/>
      <c r="C367" s="24"/>
      <c r="D367" s="24"/>
      <c r="E367" s="24"/>
      <c r="F367" s="25"/>
      <c r="G367" s="25"/>
      <c r="H367" s="25"/>
      <c r="I367" s="25"/>
      <c r="J367" s="24"/>
      <c r="K367" s="25"/>
      <c r="L367" s="25"/>
      <c r="M367" s="25"/>
      <c r="N367" s="25"/>
      <c r="O367" s="25"/>
      <c r="P367" s="25"/>
      <c r="Q367" s="25"/>
      <c r="R367" s="24"/>
      <c r="S367" s="26">
        <f t="shared" si="25"/>
        <v>0</v>
      </c>
      <c r="T367" s="26">
        <f>COUNTIF($V$4:V367,V367)</f>
        <v>324</v>
      </c>
      <c r="U367" s="26" t="str">
        <f>IF(T367=1,COUNTIF($T$4:T367,1),"")</f>
        <v/>
      </c>
      <c r="V367" s="27" t="str">
        <f t="shared" si="27"/>
        <v/>
      </c>
      <c r="W367" s="27">
        <f t="shared" si="26"/>
        <v>0</v>
      </c>
      <c r="X367" s="28"/>
      <c r="Y367" s="27"/>
    </row>
    <row r="368" spans="1:257" ht="11.25" customHeight="1">
      <c r="A368" s="34"/>
      <c r="B368" s="24"/>
      <c r="C368" s="24"/>
      <c r="D368" s="24"/>
      <c r="E368" s="24"/>
      <c r="F368" s="25"/>
      <c r="G368" s="25"/>
      <c r="H368" s="25"/>
      <c r="I368" s="25"/>
      <c r="J368" s="24"/>
      <c r="K368" s="25"/>
      <c r="L368" s="25"/>
      <c r="M368" s="25"/>
      <c r="N368" s="25"/>
      <c r="O368" s="25"/>
      <c r="P368" s="25"/>
      <c r="Q368" s="25"/>
      <c r="R368" s="24"/>
      <c r="S368" s="26">
        <f t="shared" si="25"/>
        <v>0</v>
      </c>
      <c r="T368" s="26">
        <f>COUNTIF($V$4:V368,V368)</f>
        <v>325</v>
      </c>
      <c r="U368" s="26" t="str">
        <f>IF(T368=1,COUNTIF($T$4:T368,1),"")</f>
        <v/>
      </c>
      <c r="V368" s="27" t="str">
        <f t="shared" si="27"/>
        <v/>
      </c>
      <c r="W368" s="27">
        <f t="shared" si="26"/>
        <v>0</v>
      </c>
      <c r="X368" s="28"/>
      <c r="Y368" s="27"/>
    </row>
    <row r="369" spans="1:25" ht="11.25" customHeight="1">
      <c r="A369" s="34"/>
      <c r="B369" s="24"/>
      <c r="C369" s="24"/>
      <c r="D369" s="24"/>
      <c r="E369" s="24"/>
      <c r="F369" s="25"/>
      <c r="G369" s="25"/>
      <c r="H369" s="25"/>
      <c r="I369" s="25"/>
      <c r="J369" s="24"/>
      <c r="K369" s="25"/>
      <c r="L369" s="25"/>
      <c r="M369" s="25"/>
      <c r="N369" s="25"/>
      <c r="O369" s="25"/>
      <c r="P369" s="25"/>
      <c r="Q369" s="25"/>
      <c r="R369" s="24"/>
      <c r="S369" s="26">
        <f t="shared" si="25"/>
        <v>0</v>
      </c>
      <c r="T369" s="26">
        <f>COUNTIF($V$4:V369,V369)</f>
        <v>326</v>
      </c>
      <c r="U369" s="26" t="str">
        <f>IF(T369=1,COUNTIF($T$4:T369,1),"")</f>
        <v/>
      </c>
      <c r="V369" s="27" t="str">
        <f t="shared" si="27"/>
        <v/>
      </c>
      <c r="W369" s="27">
        <f t="shared" si="26"/>
        <v>0</v>
      </c>
      <c r="X369" s="28"/>
      <c r="Y369" s="27"/>
    </row>
    <row r="370" spans="1:25" ht="11.25" customHeight="1">
      <c r="A370" s="34"/>
      <c r="B370" s="24"/>
      <c r="C370" s="24"/>
      <c r="D370" s="24"/>
      <c r="E370" s="24"/>
      <c r="F370" s="25"/>
      <c r="G370" s="25"/>
      <c r="H370" s="25"/>
      <c r="I370" s="25"/>
      <c r="J370" s="24"/>
      <c r="K370" s="25"/>
      <c r="L370" s="25"/>
      <c r="M370" s="25"/>
      <c r="N370" s="25"/>
      <c r="O370" s="25"/>
      <c r="P370" s="25"/>
      <c r="Q370" s="25"/>
      <c r="R370" s="24"/>
      <c r="S370" s="26">
        <f t="shared" si="25"/>
        <v>0</v>
      </c>
      <c r="T370" s="26">
        <f>COUNTIF($V$4:V370,V370)</f>
        <v>327</v>
      </c>
      <c r="U370" s="26" t="str">
        <f>IF(T370=1,COUNTIF($T$4:T370,1),"")</f>
        <v/>
      </c>
      <c r="V370" s="27" t="str">
        <f t="shared" si="27"/>
        <v/>
      </c>
      <c r="W370" s="27">
        <f t="shared" si="26"/>
        <v>0</v>
      </c>
      <c r="X370" s="28"/>
      <c r="Y370" s="27"/>
    </row>
    <row r="371" spans="1:25" ht="11.25" customHeight="1">
      <c r="A371" s="34"/>
      <c r="B371" s="24"/>
      <c r="C371" s="24"/>
      <c r="D371" s="24"/>
      <c r="E371" s="24"/>
      <c r="F371" s="25"/>
      <c r="G371" s="25"/>
      <c r="H371" s="25"/>
      <c r="I371" s="25"/>
      <c r="J371" s="24"/>
      <c r="K371" s="25"/>
      <c r="L371" s="25"/>
      <c r="M371" s="25"/>
      <c r="N371" s="25"/>
      <c r="O371" s="25"/>
      <c r="P371" s="25"/>
      <c r="Q371" s="25"/>
      <c r="R371" s="24"/>
      <c r="S371" s="26">
        <f t="shared" si="25"/>
        <v>0</v>
      </c>
      <c r="T371" s="26">
        <f>COUNTIF($V$4:V371,V371)</f>
        <v>328</v>
      </c>
      <c r="U371" s="26" t="str">
        <f>IF(T371=1,COUNTIF($T$4:T371,1),"")</f>
        <v/>
      </c>
      <c r="V371" s="27" t="str">
        <f t="shared" si="27"/>
        <v/>
      </c>
      <c r="W371" s="27">
        <f t="shared" si="26"/>
        <v>0</v>
      </c>
      <c r="X371" s="28"/>
      <c r="Y371" s="27"/>
    </row>
    <row r="372" spans="1:25" ht="11.25" customHeight="1">
      <c r="A372" s="34"/>
      <c r="B372" s="24"/>
      <c r="C372" s="24"/>
      <c r="D372" s="24"/>
      <c r="E372" s="24"/>
      <c r="F372" s="25"/>
      <c r="G372" s="25"/>
      <c r="H372" s="25"/>
      <c r="I372" s="25"/>
      <c r="J372" s="24"/>
      <c r="K372" s="25"/>
      <c r="L372" s="25"/>
      <c r="M372" s="25"/>
      <c r="N372" s="25"/>
      <c r="O372" s="25"/>
      <c r="P372" s="25"/>
      <c r="Q372" s="25"/>
      <c r="R372" s="24"/>
      <c r="S372" s="26">
        <f t="shared" si="25"/>
        <v>0</v>
      </c>
      <c r="T372" s="26">
        <f>COUNTIF($V$4:V372,V372)</f>
        <v>329</v>
      </c>
      <c r="U372" s="26" t="str">
        <f>IF(T372=1,COUNTIF($T$4:T372,1),"")</f>
        <v/>
      </c>
      <c r="V372" s="27" t="str">
        <f t="shared" si="27"/>
        <v/>
      </c>
      <c r="W372" s="27">
        <f t="shared" si="26"/>
        <v>0</v>
      </c>
      <c r="X372" s="28"/>
      <c r="Y372" s="27"/>
    </row>
    <row r="373" spans="1:25" ht="11.25" customHeight="1">
      <c r="A373" s="34"/>
      <c r="B373" s="24"/>
      <c r="C373" s="24"/>
      <c r="D373" s="24"/>
      <c r="E373" s="24"/>
      <c r="F373" s="25"/>
      <c r="G373" s="25"/>
      <c r="H373" s="25"/>
      <c r="I373" s="25"/>
      <c r="J373" s="24"/>
      <c r="K373" s="25"/>
      <c r="L373" s="25"/>
      <c r="M373" s="25"/>
      <c r="N373" s="25"/>
      <c r="O373" s="25"/>
      <c r="P373" s="25"/>
      <c r="Q373" s="25"/>
      <c r="R373" s="24"/>
      <c r="S373" s="26">
        <f t="shared" si="25"/>
        <v>0</v>
      </c>
      <c r="T373" s="26">
        <f>COUNTIF($V$4:V373,V373)</f>
        <v>330</v>
      </c>
      <c r="U373" s="26" t="str">
        <f>IF(T373=1,COUNTIF($T$4:T373,1),"")</f>
        <v/>
      </c>
      <c r="V373" s="27" t="str">
        <f t="shared" si="27"/>
        <v/>
      </c>
      <c r="W373" s="27">
        <f t="shared" si="26"/>
        <v>0</v>
      </c>
      <c r="X373" s="28"/>
      <c r="Y373" s="27"/>
    </row>
    <row r="374" spans="1:25" ht="11.25" customHeight="1">
      <c r="A374" s="34"/>
      <c r="B374" s="24"/>
      <c r="C374" s="24"/>
      <c r="D374" s="24"/>
      <c r="E374" s="24"/>
      <c r="F374" s="25"/>
      <c r="G374" s="25"/>
      <c r="H374" s="25"/>
      <c r="I374" s="25"/>
      <c r="J374" s="24"/>
      <c r="K374" s="25"/>
      <c r="L374" s="25"/>
      <c r="M374" s="25"/>
      <c r="N374" s="25"/>
      <c r="O374" s="25"/>
      <c r="P374" s="25"/>
      <c r="Q374" s="25"/>
      <c r="R374" s="24"/>
      <c r="S374" s="26">
        <f t="shared" si="25"/>
        <v>0</v>
      </c>
      <c r="T374" s="26">
        <f>COUNTIF($V$4:V374,V374)</f>
        <v>331</v>
      </c>
      <c r="U374" s="26" t="str">
        <f>IF(T374=1,COUNTIF($T$4:T374,1),"")</f>
        <v/>
      </c>
      <c r="V374" s="27" t="str">
        <f t="shared" si="27"/>
        <v/>
      </c>
      <c r="W374" s="27">
        <f t="shared" si="26"/>
        <v>0</v>
      </c>
      <c r="X374" s="28"/>
      <c r="Y374" s="27"/>
    </row>
    <row r="375" spans="1:25" ht="11.25" customHeight="1">
      <c r="A375" s="34"/>
      <c r="B375" s="24"/>
      <c r="C375" s="24"/>
      <c r="D375" s="24"/>
      <c r="E375" s="24"/>
      <c r="F375" s="25"/>
      <c r="G375" s="25"/>
      <c r="H375" s="25"/>
      <c r="I375" s="25"/>
      <c r="J375" s="24"/>
      <c r="K375" s="25"/>
      <c r="L375" s="25"/>
      <c r="M375" s="25"/>
      <c r="N375" s="25"/>
      <c r="O375" s="25"/>
      <c r="P375" s="25"/>
      <c r="Q375" s="25"/>
      <c r="R375" s="24"/>
      <c r="S375" s="26">
        <f t="shared" si="25"/>
        <v>0</v>
      </c>
      <c r="T375" s="26">
        <f>COUNTIF($V$4:V375,V375)</f>
        <v>332</v>
      </c>
      <c r="U375" s="26" t="str">
        <f>IF(T375=1,COUNTIF($T$4:T375,1),"")</f>
        <v/>
      </c>
      <c r="V375" s="27" t="str">
        <f t="shared" si="27"/>
        <v/>
      </c>
      <c r="W375" s="27">
        <f t="shared" si="26"/>
        <v>0</v>
      </c>
      <c r="X375" s="28"/>
      <c r="Y375" s="27"/>
    </row>
    <row r="376" spans="1:25" ht="11.25" customHeight="1">
      <c r="A376" s="34"/>
      <c r="B376" s="24"/>
      <c r="C376" s="24"/>
      <c r="D376" s="24"/>
      <c r="E376" s="24"/>
      <c r="F376" s="25"/>
      <c r="G376" s="25"/>
      <c r="H376" s="25"/>
      <c r="I376" s="25"/>
      <c r="J376" s="24"/>
      <c r="K376" s="25"/>
      <c r="L376" s="25"/>
      <c r="M376" s="25"/>
      <c r="N376" s="25"/>
      <c r="O376" s="25"/>
      <c r="P376" s="25"/>
      <c r="Q376" s="25"/>
      <c r="R376" s="24"/>
      <c r="S376" s="26">
        <f t="shared" si="25"/>
        <v>0</v>
      </c>
      <c r="T376" s="26">
        <f>COUNTIF($V$4:V376,V376)</f>
        <v>333</v>
      </c>
      <c r="U376" s="26" t="str">
        <f>IF(T376=1,COUNTIF($T$4:T376,1),"")</f>
        <v/>
      </c>
      <c r="V376" s="27" t="str">
        <f t="shared" si="27"/>
        <v/>
      </c>
      <c r="W376" s="27">
        <f t="shared" si="26"/>
        <v>0</v>
      </c>
      <c r="X376" s="28"/>
      <c r="Y376" s="27"/>
    </row>
    <row r="377" spans="1:25" ht="11.25" customHeight="1">
      <c r="A377" s="34"/>
      <c r="B377" s="24"/>
      <c r="C377" s="24"/>
      <c r="D377" s="24"/>
      <c r="E377" s="24"/>
      <c r="F377" s="25"/>
      <c r="G377" s="25"/>
      <c r="H377" s="25"/>
      <c r="I377" s="25"/>
      <c r="J377" s="24"/>
      <c r="K377" s="25"/>
      <c r="L377" s="25"/>
      <c r="M377" s="25"/>
      <c r="N377" s="25"/>
      <c r="O377" s="25"/>
      <c r="P377" s="25"/>
      <c r="Q377" s="25"/>
      <c r="R377" s="24"/>
      <c r="S377" s="26">
        <f t="shared" si="25"/>
        <v>0</v>
      </c>
      <c r="T377" s="26">
        <f>COUNTIF($V$4:V377,V377)</f>
        <v>334</v>
      </c>
      <c r="U377" s="26" t="str">
        <f>IF(T377=1,COUNTIF($T$4:T377,1),"")</f>
        <v/>
      </c>
      <c r="V377" s="27" t="str">
        <f t="shared" si="27"/>
        <v/>
      </c>
      <c r="W377" s="27">
        <f t="shared" si="26"/>
        <v>0</v>
      </c>
      <c r="X377" s="28"/>
      <c r="Y377" s="27"/>
    </row>
    <row r="378" spans="1:25" ht="11.25" customHeight="1">
      <c r="A378" s="34"/>
      <c r="B378" s="24"/>
      <c r="C378" s="24"/>
      <c r="D378" s="24"/>
      <c r="E378" s="24"/>
      <c r="F378" s="25"/>
      <c r="G378" s="25"/>
      <c r="H378" s="25"/>
      <c r="I378" s="25"/>
      <c r="J378" s="24"/>
      <c r="K378" s="25"/>
      <c r="L378" s="25"/>
      <c r="M378" s="25"/>
      <c r="N378" s="25"/>
      <c r="O378" s="25"/>
      <c r="P378" s="25"/>
      <c r="Q378" s="25"/>
      <c r="R378" s="24"/>
      <c r="S378" s="26">
        <f t="shared" si="25"/>
        <v>0</v>
      </c>
      <c r="T378" s="26">
        <f>COUNTIF($V$4:V378,V378)</f>
        <v>335</v>
      </c>
      <c r="U378" s="26" t="str">
        <f>IF(T378=1,COUNTIF($T$4:T378,1),"")</f>
        <v/>
      </c>
      <c r="V378" s="27" t="str">
        <f t="shared" si="27"/>
        <v/>
      </c>
      <c r="W378" s="27">
        <f t="shared" si="26"/>
        <v>0</v>
      </c>
      <c r="X378" s="28"/>
      <c r="Y378" s="27"/>
    </row>
    <row r="379" spans="1:25" ht="11.25" customHeight="1">
      <c r="A379" s="34"/>
      <c r="B379" s="24"/>
      <c r="C379" s="24"/>
      <c r="D379" s="24"/>
      <c r="E379" s="24"/>
      <c r="F379" s="25"/>
      <c r="G379" s="25"/>
      <c r="H379" s="25"/>
      <c r="I379" s="25"/>
      <c r="J379" s="24"/>
      <c r="K379" s="25"/>
      <c r="L379" s="25"/>
      <c r="M379" s="25"/>
      <c r="N379" s="25"/>
      <c r="O379" s="25"/>
      <c r="P379" s="25"/>
      <c r="Q379" s="25"/>
      <c r="R379" s="24"/>
      <c r="S379" s="26">
        <f t="shared" si="25"/>
        <v>0</v>
      </c>
      <c r="T379" s="26">
        <f>COUNTIF($V$4:V379,V379)</f>
        <v>336</v>
      </c>
      <c r="U379" s="26" t="str">
        <f>IF(T379=1,COUNTIF($T$4:T379,1),"")</f>
        <v/>
      </c>
      <c r="V379" s="27" t="str">
        <f t="shared" si="27"/>
        <v/>
      </c>
      <c r="W379" s="27">
        <f t="shared" si="26"/>
        <v>0</v>
      </c>
      <c r="X379" s="28"/>
      <c r="Y379" s="27"/>
    </row>
    <row r="380" spans="1:25" ht="11.25" customHeight="1">
      <c r="A380" s="34"/>
      <c r="B380" s="24"/>
      <c r="C380" s="24"/>
      <c r="D380" s="24"/>
      <c r="E380" s="24"/>
      <c r="F380" s="25"/>
      <c r="G380" s="25"/>
      <c r="H380" s="25"/>
      <c r="I380" s="25"/>
      <c r="J380" s="24"/>
      <c r="K380" s="25"/>
      <c r="L380" s="25"/>
      <c r="M380" s="25"/>
      <c r="N380" s="25"/>
      <c r="O380" s="25"/>
      <c r="P380" s="25"/>
      <c r="Q380" s="25"/>
      <c r="R380" s="24"/>
      <c r="S380" s="26">
        <f t="shared" si="25"/>
        <v>0</v>
      </c>
      <c r="T380" s="26">
        <f>COUNTIF($V$4:V380,V380)</f>
        <v>337</v>
      </c>
      <c r="U380" s="26" t="str">
        <f>IF(T380=1,COUNTIF($T$4:T380,1),"")</f>
        <v/>
      </c>
      <c r="V380" s="27" t="str">
        <f t="shared" si="27"/>
        <v/>
      </c>
      <c r="W380" s="27">
        <f t="shared" si="26"/>
        <v>0</v>
      </c>
      <c r="X380" s="28"/>
      <c r="Y380" s="27"/>
    </row>
    <row r="381" spans="1:25" ht="11.25" customHeight="1">
      <c r="A381" s="34"/>
      <c r="B381" s="24"/>
      <c r="C381" s="24"/>
      <c r="D381" s="24"/>
      <c r="E381" s="24"/>
      <c r="F381" s="25"/>
      <c r="G381" s="25"/>
      <c r="H381" s="25"/>
      <c r="I381" s="25"/>
      <c r="J381" s="24"/>
      <c r="K381" s="25"/>
      <c r="L381" s="25"/>
      <c r="M381" s="25"/>
      <c r="N381" s="25"/>
      <c r="O381" s="25"/>
      <c r="P381" s="25"/>
      <c r="Q381" s="25"/>
      <c r="R381" s="24"/>
      <c r="S381" s="26">
        <f t="shared" si="25"/>
        <v>0</v>
      </c>
      <c r="T381" s="26">
        <f>COUNTIF($V$4:V381,V381)</f>
        <v>338</v>
      </c>
      <c r="U381" s="26" t="str">
        <f>IF(T381=1,COUNTIF($T$4:T381,1),"")</f>
        <v/>
      </c>
      <c r="V381" s="27" t="str">
        <f t="shared" si="27"/>
        <v/>
      </c>
      <c r="W381" s="27">
        <f t="shared" si="26"/>
        <v>0</v>
      </c>
      <c r="X381" s="28"/>
      <c r="Y381" s="27"/>
    </row>
    <row r="382" spans="1:25" ht="11.25" customHeight="1">
      <c r="A382" s="34"/>
      <c r="B382" s="24"/>
      <c r="C382" s="24"/>
      <c r="D382" s="24"/>
      <c r="E382" s="24"/>
      <c r="F382" s="25"/>
      <c r="G382" s="25"/>
      <c r="H382" s="25"/>
      <c r="I382" s="25"/>
      <c r="J382" s="24"/>
      <c r="K382" s="25"/>
      <c r="L382" s="25"/>
      <c r="M382" s="25"/>
      <c r="N382" s="25"/>
      <c r="O382" s="25"/>
      <c r="P382" s="25"/>
      <c r="Q382" s="25"/>
      <c r="R382" s="24"/>
      <c r="S382" s="26">
        <f t="shared" si="25"/>
        <v>0</v>
      </c>
      <c r="T382" s="26">
        <f>COUNTIF($V$4:V382,V382)</f>
        <v>339</v>
      </c>
      <c r="U382" s="26" t="str">
        <f>IF(T382=1,COUNTIF($T$4:T382,1),"")</f>
        <v/>
      </c>
      <c r="V382" s="27" t="str">
        <f t="shared" si="27"/>
        <v/>
      </c>
      <c r="W382" s="27">
        <f t="shared" si="26"/>
        <v>0</v>
      </c>
      <c r="X382" s="28"/>
      <c r="Y382" s="27"/>
    </row>
    <row r="383" spans="1:25">
      <c r="A383" s="34"/>
      <c r="B383" s="24"/>
      <c r="C383" s="24"/>
      <c r="D383" s="24"/>
      <c r="E383" s="24"/>
      <c r="F383" s="25"/>
      <c r="G383" s="25"/>
      <c r="H383" s="25"/>
      <c r="I383" s="25"/>
      <c r="J383" s="24"/>
      <c r="K383" s="25"/>
      <c r="L383" s="25"/>
      <c r="M383" s="25"/>
      <c r="N383" s="25"/>
      <c r="O383" s="25"/>
      <c r="P383" s="25"/>
      <c r="Q383" s="25"/>
      <c r="R383" s="24"/>
      <c r="S383" s="26">
        <f t="shared" si="25"/>
        <v>0</v>
      </c>
      <c r="T383" s="26">
        <f>COUNTIF($V$4:V383,V383)</f>
        <v>340</v>
      </c>
      <c r="U383" s="26" t="str">
        <f>IF(T383=1,COUNTIF($T$4:T383,1),"")</f>
        <v/>
      </c>
      <c r="V383" s="27" t="str">
        <f t="shared" si="27"/>
        <v/>
      </c>
      <c r="W383" s="27">
        <f t="shared" si="26"/>
        <v>0</v>
      </c>
      <c r="X383" s="28"/>
      <c r="Y383" s="27"/>
    </row>
    <row r="384" spans="1:25">
      <c r="A384" s="34"/>
      <c r="B384" s="24"/>
      <c r="C384" s="24"/>
      <c r="D384" s="24"/>
      <c r="E384" s="24"/>
      <c r="F384" s="25"/>
      <c r="G384" s="25"/>
      <c r="H384" s="25"/>
      <c r="I384" s="25"/>
      <c r="J384" s="24"/>
      <c r="K384" s="25"/>
      <c r="L384" s="25"/>
      <c r="M384" s="25"/>
      <c r="N384" s="25"/>
      <c r="O384" s="25"/>
      <c r="P384" s="25"/>
      <c r="Q384" s="25"/>
      <c r="R384" s="24"/>
      <c r="S384" s="26">
        <f t="shared" si="25"/>
        <v>0</v>
      </c>
      <c r="T384" s="26">
        <f>COUNTIF($V$4:V384,V384)</f>
        <v>341</v>
      </c>
      <c r="U384" s="26" t="str">
        <f>IF(T384=1,COUNTIF($T$4:T384,1),"")</f>
        <v/>
      </c>
      <c r="V384" s="27" t="str">
        <f t="shared" si="27"/>
        <v/>
      </c>
      <c r="W384" s="27">
        <f t="shared" si="26"/>
        <v>0</v>
      </c>
      <c r="X384" s="28"/>
      <c r="Y384" s="27"/>
    </row>
    <row r="385" spans="1:257">
      <c r="A385" s="34"/>
      <c r="B385" s="24"/>
      <c r="C385" s="24"/>
      <c r="D385" s="24"/>
      <c r="E385" s="24"/>
      <c r="F385" s="25"/>
      <c r="G385" s="25"/>
      <c r="H385" s="25"/>
      <c r="I385" s="25"/>
      <c r="J385" s="24"/>
      <c r="K385" s="25"/>
      <c r="L385" s="25"/>
      <c r="M385" s="25"/>
      <c r="N385" s="25"/>
      <c r="O385" s="25"/>
      <c r="P385" s="25"/>
      <c r="Q385" s="25"/>
      <c r="R385" s="24"/>
      <c r="S385" s="26">
        <f t="shared" si="25"/>
        <v>0</v>
      </c>
      <c r="T385" s="26">
        <f>COUNTIF($V$4:V385,V385)</f>
        <v>342</v>
      </c>
      <c r="U385" s="26" t="str">
        <f>IF(T385=1,COUNTIF($T$4:T385,1),"")</f>
        <v/>
      </c>
      <c r="V385" s="27" t="str">
        <f t="shared" si="27"/>
        <v/>
      </c>
      <c r="W385" s="27">
        <f t="shared" si="26"/>
        <v>0</v>
      </c>
      <c r="X385" s="28"/>
      <c r="Y385" s="27"/>
    </row>
    <row r="386" spans="1:257">
      <c r="A386" s="34"/>
      <c r="B386" s="24"/>
      <c r="C386" s="24"/>
      <c r="D386" s="24"/>
      <c r="E386" s="24"/>
      <c r="F386" s="25"/>
      <c r="G386" s="25"/>
      <c r="H386" s="25"/>
      <c r="I386" s="25"/>
      <c r="J386" s="24"/>
      <c r="K386" s="25"/>
      <c r="L386" s="25"/>
      <c r="M386" s="25"/>
      <c r="N386" s="25"/>
      <c r="O386" s="25"/>
      <c r="P386" s="25"/>
      <c r="Q386" s="25"/>
      <c r="R386" s="24"/>
      <c r="S386" s="26">
        <f t="shared" si="25"/>
        <v>0</v>
      </c>
      <c r="T386" s="26">
        <f>COUNTIF($V$4:V386,V386)</f>
        <v>343</v>
      </c>
      <c r="U386" s="26" t="str">
        <f>IF(T386=1,COUNTIF($T$4:T386,1),"")</f>
        <v/>
      </c>
      <c r="V386" s="27" t="str">
        <f t="shared" si="27"/>
        <v/>
      </c>
      <c r="W386" s="27">
        <f t="shared" si="26"/>
        <v>0</v>
      </c>
      <c r="X386" s="28"/>
      <c r="Y386" s="27"/>
    </row>
    <row r="387" spans="1:257">
      <c r="A387" s="34"/>
      <c r="B387" s="24"/>
      <c r="C387" s="24"/>
      <c r="D387" s="24"/>
      <c r="E387" s="24"/>
      <c r="F387" s="25"/>
      <c r="G387" s="25"/>
      <c r="H387" s="25"/>
      <c r="I387" s="25"/>
      <c r="J387" s="24"/>
      <c r="K387" s="25"/>
      <c r="L387" s="25"/>
      <c r="M387" s="25"/>
      <c r="N387" s="25"/>
      <c r="O387" s="25"/>
      <c r="P387" s="25"/>
      <c r="Q387" s="25"/>
      <c r="R387" s="24"/>
      <c r="S387" s="26">
        <f t="shared" si="25"/>
        <v>0</v>
      </c>
      <c r="T387" s="26">
        <f>COUNTIF($V$4:V387,V387)</f>
        <v>344</v>
      </c>
      <c r="U387" s="26" t="str">
        <f>IF(T387=1,COUNTIF($T$4:T387,1),"")</f>
        <v/>
      </c>
      <c r="V387" s="27" t="str">
        <f t="shared" si="27"/>
        <v/>
      </c>
      <c r="W387" s="27">
        <f t="shared" si="26"/>
        <v>0</v>
      </c>
      <c r="X387" s="28"/>
      <c r="Y387" s="27"/>
    </row>
    <row r="388" spans="1:257">
      <c r="A388" s="34"/>
      <c r="B388" s="24"/>
      <c r="C388" s="24"/>
      <c r="D388" s="24"/>
      <c r="E388" s="24"/>
      <c r="F388" s="25"/>
      <c r="G388" s="25"/>
      <c r="H388" s="25"/>
      <c r="I388" s="25"/>
      <c r="J388" s="24"/>
      <c r="K388" s="25"/>
      <c r="L388" s="25"/>
      <c r="M388" s="25"/>
      <c r="N388" s="25"/>
      <c r="O388" s="25"/>
      <c r="P388" s="25"/>
      <c r="Q388" s="25"/>
      <c r="R388" s="24"/>
      <c r="S388" s="26">
        <f t="shared" ref="S388:S451" si="28">A388</f>
        <v>0</v>
      </c>
      <c r="T388" s="26">
        <f>COUNTIF($V$4:V388,V388)</f>
        <v>345</v>
      </c>
      <c r="U388" s="26" t="str">
        <f>IF(T388=1,COUNTIF($T$4:T388,1),"")</f>
        <v/>
      </c>
      <c r="V388" s="27" t="str">
        <f t="shared" si="27"/>
        <v/>
      </c>
      <c r="W388" s="27">
        <f t="shared" ref="W388:W451" si="29">$F388</f>
        <v>0</v>
      </c>
      <c r="X388" s="28"/>
      <c r="Y388" s="27"/>
    </row>
    <row r="389" spans="1:257">
      <c r="A389" s="34"/>
      <c r="B389" s="24"/>
      <c r="C389" s="24"/>
      <c r="D389" s="24"/>
      <c r="E389" s="24"/>
      <c r="F389" s="25"/>
      <c r="G389" s="25"/>
      <c r="H389" s="25"/>
      <c r="I389" s="25"/>
      <c r="J389" s="24"/>
      <c r="K389" s="25"/>
      <c r="L389" s="25"/>
      <c r="M389" s="25"/>
      <c r="N389" s="25"/>
      <c r="O389" s="25"/>
      <c r="P389" s="25"/>
      <c r="Q389" s="25"/>
      <c r="R389" s="24"/>
      <c r="S389" s="26">
        <f t="shared" si="28"/>
        <v>0</v>
      </c>
      <c r="T389" s="26">
        <f>COUNTIF($V$4:V389,V389)</f>
        <v>346</v>
      </c>
      <c r="U389" s="26" t="str">
        <f>IF(T389=1,COUNTIF($T$4:T389,1),"")</f>
        <v/>
      </c>
      <c r="V389" s="27" t="str">
        <f t="shared" ref="V389:V452" si="30">$E389&amp;$C389</f>
        <v/>
      </c>
      <c r="W389" s="27">
        <f t="shared" si="29"/>
        <v>0</v>
      </c>
      <c r="X389" s="28"/>
      <c r="Y389" s="27"/>
    </row>
    <row r="390" spans="1:257">
      <c r="A390" s="34"/>
      <c r="B390" s="24"/>
      <c r="C390" s="24"/>
      <c r="D390" s="24"/>
      <c r="E390" s="24"/>
      <c r="F390" s="25"/>
      <c r="G390" s="25"/>
      <c r="H390" s="25"/>
      <c r="I390" s="25"/>
      <c r="J390" s="24"/>
      <c r="K390" s="25"/>
      <c r="L390" s="25"/>
      <c r="M390" s="25"/>
      <c r="N390" s="25"/>
      <c r="O390" s="25"/>
      <c r="P390" s="25"/>
      <c r="Q390" s="25"/>
      <c r="R390" s="24"/>
      <c r="S390" s="26">
        <f t="shared" si="28"/>
        <v>0</v>
      </c>
      <c r="T390" s="26">
        <f>COUNTIF($V$4:V390,V390)</f>
        <v>347</v>
      </c>
      <c r="U390" s="26" t="str">
        <f>IF(T390=1,COUNTIF($T$4:T390,1),"")</f>
        <v/>
      </c>
      <c r="V390" s="27" t="str">
        <f t="shared" si="30"/>
        <v/>
      </c>
      <c r="W390" s="27">
        <f t="shared" si="29"/>
        <v>0</v>
      </c>
      <c r="X390" s="28"/>
      <c r="Y390" s="27"/>
    </row>
    <row r="391" spans="1:257">
      <c r="A391" s="34"/>
      <c r="B391" s="24"/>
      <c r="C391" s="24"/>
      <c r="D391" s="24"/>
      <c r="E391" s="24"/>
      <c r="F391" s="25"/>
      <c r="G391" s="25"/>
      <c r="H391" s="25"/>
      <c r="I391" s="25"/>
      <c r="J391" s="24"/>
      <c r="K391" s="25"/>
      <c r="L391" s="25"/>
      <c r="M391" s="25"/>
      <c r="N391" s="25"/>
      <c r="O391" s="25"/>
      <c r="P391" s="25"/>
      <c r="Q391" s="25"/>
      <c r="R391" s="24"/>
      <c r="S391" s="26">
        <f t="shared" si="28"/>
        <v>0</v>
      </c>
      <c r="T391" s="26">
        <f>COUNTIF($V$4:V391,V391)</f>
        <v>348</v>
      </c>
      <c r="U391" s="26" t="str">
        <f>IF(T391=1,COUNTIF($T$4:T391,1),"")</f>
        <v/>
      </c>
      <c r="V391" s="27" t="str">
        <f t="shared" si="30"/>
        <v/>
      </c>
      <c r="W391" s="27">
        <f t="shared" si="29"/>
        <v>0</v>
      </c>
      <c r="X391" s="28"/>
      <c r="Y391" s="27"/>
    </row>
    <row r="392" spans="1:257">
      <c r="A392" s="34"/>
      <c r="B392" s="24"/>
      <c r="C392" s="24"/>
      <c r="D392" s="24"/>
      <c r="E392" s="24"/>
      <c r="F392" s="25"/>
      <c r="G392" s="25"/>
      <c r="H392" s="25"/>
      <c r="I392" s="25"/>
      <c r="J392" s="24"/>
      <c r="K392" s="25"/>
      <c r="L392" s="25"/>
      <c r="M392" s="25"/>
      <c r="N392" s="25"/>
      <c r="O392" s="25"/>
      <c r="P392" s="25"/>
      <c r="Q392" s="25"/>
      <c r="R392" s="24"/>
      <c r="S392" s="26">
        <f t="shared" si="28"/>
        <v>0</v>
      </c>
      <c r="T392" s="26">
        <f>COUNTIF($V$4:V392,V392)</f>
        <v>349</v>
      </c>
      <c r="U392" s="26" t="str">
        <f>IF(T392=1,COUNTIF($T$4:T392,1),"")</f>
        <v/>
      </c>
      <c r="V392" s="27" t="str">
        <f t="shared" si="30"/>
        <v/>
      </c>
      <c r="W392" s="27">
        <f t="shared" si="29"/>
        <v>0</v>
      </c>
      <c r="X392" s="28"/>
      <c r="Y392" s="27"/>
    </row>
    <row r="393" spans="1:257">
      <c r="A393" s="34"/>
      <c r="B393" s="24"/>
      <c r="C393" s="24"/>
      <c r="D393" s="24"/>
      <c r="E393" s="24"/>
      <c r="F393" s="25"/>
      <c r="G393" s="25"/>
      <c r="H393" s="25"/>
      <c r="I393" s="25"/>
      <c r="J393" s="24"/>
      <c r="K393" s="25"/>
      <c r="L393" s="25"/>
      <c r="M393" s="25"/>
      <c r="N393" s="25"/>
      <c r="O393" s="25"/>
      <c r="P393" s="25"/>
      <c r="Q393" s="25"/>
      <c r="R393" s="24"/>
      <c r="S393" s="26">
        <f t="shared" si="28"/>
        <v>0</v>
      </c>
      <c r="T393" s="26">
        <f>COUNTIF($V$4:V393,V393)</f>
        <v>350</v>
      </c>
      <c r="U393" s="26" t="str">
        <f>IF(T393=1,COUNTIF($T$4:T393,1),"")</f>
        <v/>
      </c>
      <c r="V393" s="27" t="str">
        <f t="shared" si="30"/>
        <v/>
      </c>
      <c r="W393" s="27">
        <f t="shared" si="29"/>
        <v>0</v>
      </c>
      <c r="X393" s="28"/>
      <c r="Y393" s="27"/>
    </row>
    <row r="394" spans="1:257">
      <c r="A394" s="34"/>
      <c r="B394" s="24"/>
      <c r="C394" s="24"/>
      <c r="D394" s="24"/>
      <c r="E394" s="24"/>
      <c r="F394" s="25"/>
      <c r="G394" s="25"/>
      <c r="H394" s="25"/>
      <c r="I394" s="25"/>
      <c r="J394" s="24"/>
      <c r="K394" s="25"/>
      <c r="L394" s="25"/>
      <c r="M394" s="25"/>
      <c r="N394" s="25"/>
      <c r="O394" s="25"/>
      <c r="P394" s="25"/>
      <c r="Q394" s="25"/>
      <c r="R394" s="24"/>
      <c r="S394" s="26">
        <f t="shared" si="28"/>
        <v>0</v>
      </c>
      <c r="T394" s="26">
        <f>COUNTIF($V$4:V394,V394)</f>
        <v>351</v>
      </c>
      <c r="U394" s="26" t="str">
        <f>IF(T394=1,COUNTIF($T$4:T394,1),"")</f>
        <v/>
      </c>
      <c r="V394" s="27" t="str">
        <f t="shared" si="30"/>
        <v/>
      </c>
      <c r="W394" s="27">
        <f t="shared" si="29"/>
        <v>0</v>
      </c>
      <c r="X394" s="28"/>
      <c r="Y394" s="27"/>
    </row>
    <row r="395" spans="1:257">
      <c r="A395" s="34"/>
      <c r="B395" s="24"/>
      <c r="C395" s="24"/>
      <c r="D395" s="24"/>
      <c r="E395" s="24"/>
      <c r="F395" s="25"/>
      <c r="G395" s="25"/>
      <c r="H395" s="25"/>
      <c r="I395" s="25"/>
      <c r="J395" s="24"/>
      <c r="K395" s="25"/>
      <c r="L395" s="25"/>
      <c r="M395" s="25"/>
      <c r="N395" s="25"/>
      <c r="O395" s="25"/>
      <c r="P395" s="25"/>
      <c r="Q395" s="25"/>
      <c r="R395" s="24"/>
      <c r="S395" s="26">
        <f t="shared" si="28"/>
        <v>0</v>
      </c>
      <c r="T395" s="26">
        <f>COUNTIF($V$4:V395,V395)</f>
        <v>352</v>
      </c>
      <c r="U395" s="26" t="str">
        <f>IF(T395=1,COUNTIF($T$4:T395,1),"")</f>
        <v/>
      </c>
      <c r="V395" s="27" t="str">
        <f t="shared" si="30"/>
        <v/>
      </c>
      <c r="W395" s="27">
        <f t="shared" si="29"/>
        <v>0</v>
      </c>
      <c r="X395" s="28"/>
      <c r="Y395" s="27"/>
    </row>
    <row r="396" spans="1:257" s="33" customFormat="1">
      <c r="A396" s="34"/>
      <c r="B396" s="24"/>
      <c r="C396" s="24"/>
      <c r="D396" s="24"/>
      <c r="E396" s="24"/>
      <c r="F396" s="25"/>
      <c r="G396" s="25"/>
      <c r="H396" s="25"/>
      <c r="I396" s="25"/>
      <c r="J396" s="24"/>
      <c r="K396" s="25"/>
      <c r="L396" s="25"/>
      <c r="M396" s="25"/>
      <c r="N396" s="25"/>
      <c r="O396" s="25"/>
      <c r="P396" s="25"/>
      <c r="Q396" s="25"/>
      <c r="R396" s="24"/>
      <c r="S396" s="26">
        <f t="shared" si="28"/>
        <v>0</v>
      </c>
      <c r="T396" s="26">
        <f>COUNTIF($V$4:V396,V396)</f>
        <v>353</v>
      </c>
      <c r="U396" s="26" t="str">
        <f>IF(T396=1,COUNTIF($T$4:T396,1),"")</f>
        <v/>
      </c>
      <c r="V396" s="27" t="str">
        <f t="shared" si="30"/>
        <v/>
      </c>
      <c r="W396" s="27">
        <f t="shared" si="29"/>
        <v>0</v>
      </c>
      <c r="X396" s="28"/>
      <c r="Y396" s="27"/>
      <c r="Z396" s="10"/>
      <c r="AA396" s="10"/>
      <c r="AB396" s="10"/>
      <c r="AC396" s="10"/>
      <c r="AD396" s="10"/>
      <c r="AE396" s="10"/>
      <c r="AF396" s="10"/>
      <c r="AG396" s="10"/>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BF396" s="12"/>
      <c r="BG396" s="12"/>
      <c r="BH396" s="12"/>
      <c r="BI396" s="12"/>
      <c r="BJ396" s="12"/>
      <c r="BK396" s="12"/>
      <c r="BL396" s="12"/>
      <c r="BM396" s="12"/>
      <c r="BN396" s="12"/>
      <c r="BO396" s="12"/>
      <c r="BP396" s="12"/>
      <c r="BQ396" s="12"/>
      <c r="BR396" s="12"/>
      <c r="BS396" s="12"/>
      <c r="BT396" s="12"/>
      <c r="BU396" s="12"/>
      <c r="BV396" s="12"/>
      <c r="BW396" s="12"/>
      <c r="BX396" s="12"/>
      <c r="BY396" s="12"/>
      <c r="BZ396" s="12"/>
      <c r="CA396" s="12"/>
      <c r="CB396" s="12"/>
      <c r="CC396" s="12"/>
      <c r="CD396" s="12"/>
      <c r="CE396" s="12"/>
      <c r="CF396" s="12"/>
      <c r="CG396" s="12"/>
      <c r="CH396" s="12"/>
      <c r="CI396" s="12"/>
      <c r="CJ396" s="12"/>
      <c r="CK396" s="12"/>
      <c r="CL396" s="12"/>
      <c r="CM396" s="12"/>
      <c r="CN396" s="12"/>
      <c r="CO396" s="12"/>
      <c r="CP396" s="12"/>
      <c r="CQ396" s="12"/>
      <c r="CR396" s="12"/>
      <c r="CS396" s="12"/>
      <c r="CT396" s="12"/>
      <c r="CU396" s="12"/>
      <c r="CV396" s="12"/>
      <c r="CW396" s="12"/>
      <c r="CX396" s="12"/>
      <c r="CY396" s="12"/>
      <c r="CZ396" s="12"/>
      <c r="DA396" s="12"/>
      <c r="DB396" s="12"/>
      <c r="DC396" s="12"/>
      <c r="DD396" s="12"/>
      <c r="DE396" s="12"/>
      <c r="DF396" s="12"/>
      <c r="DG396" s="12"/>
      <c r="DH396" s="12"/>
      <c r="DI396" s="12"/>
      <c r="DJ396" s="12"/>
      <c r="DK396" s="12"/>
      <c r="DL396" s="12"/>
      <c r="DM396" s="12"/>
      <c r="DN396" s="12"/>
      <c r="DO396" s="12"/>
      <c r="DP396" s="12"/>
      <c r="DQ396" s="12"/>
      <c r="DR396" s="12"/>
      <c r="DS396" s="12"/>
      <c r="DT396" s="12"/>
      <c r="DU396" s="12"/>
      <c r="DV396" s="12"/>
      <c r="DW396" s="12"/>
      <c r="DX396" s="12"/>
      <c r="DY396" s="12"/>
      <c r="DZ396" s="12"/>
      <c r="EA396" s="12"/>
      <c r="EB396" s="12"/>
      <c r="EC396" s="12"/>
      <c r="ED396" s="12"/>
      <c r="EE396" s="12"/>
      <c r="EF396" s="12"/>
      <c r="EG396" s="12"/>
      <c r="EH396" s="12"/>
      <c r="EI396" s="12"/>
      <c r="EJ396" s="12"/>
      <c r="EK396" s="12"/>
      <c r="EL396" s="12"/>
      <c r="EM396" s="12"/>
      <c r="EN396" s="12"/>
      <c r="EO396" s="12"/>
      <c r="EP396" s="12"/>
      <c r="EQ396" s="12"/>
      <c r="ER396" s="12"/>
      <c r="ES396" s="12"/>
      <c r="ET396" s="12"/>
      <c r="EU396" s="12"/>
      <c r="EV396" s="12"/>
      <c r="EW396" s="12"/>
      <c r="EX396" s="12"/>
      <c r="EY396" s="12"/>
      <c r="EZ396" s="12"/>
      <c r="FA396" s="12"/>
      <c r="FB396" s="12"/>
      <c r="FC396" s="12"/>
      <c r="FD396" s="12"/>
      <c r="FE396" s="12"/>
      <c r="FF396" s="12"/>
      <c r="FG396" s="12"/>
      <c r="FH396" s="12"/>
      <c r="FI396" s="12"/>
      <c r="FJ396" s="12"/>
      <c r="FK396" s="12"/>
      <c r="FL396" s="12"/>
      <c r="FM396" s="12"/>
      <c r="FN396" s="12"/>
      <c r="FO396" s="12"/>
      <c r="FP396" s="12"/>
      <c r="FQ396" s="12"/>
      <c r="FR396" s="12"/>
      <c r="FS396" s="12"/>
      <c r="FT396" s="12"/>
      <c r="FU396" s="12"/>
      <c r="FV396" s="12"/>
      <c r="FW396" s="12"/>
      <c r="FX396" s="12"/>
      <c r="FY396" s="12"/>
      <c r="FZ396" s="12"/>
      <c r="GA396" s="12"/>
      <c r="GB396" s="12"/>
      <c r="GC396" s="12"/>
      <c r="GD396" s="12"/>
      <c r="GE396" s="12"/>
      <c r="GF396" s="12"/>
      <c r="GG396" s="12"/>
      <c r="GH396" s="12"/>
      <c r="GI396" s="12"/>
      <c r="GJ396" s="12"/>
      <c r="GK396" s="12"/>
      <c r="GL396" s="12"/>
      <c r="GM396" s="12"/>
      <c r="GN396" s="12"/>
      <c r="GO396" s="12"/>
      <c r="GP396" s="12"/>
      <c r="GQ396" s="12"/>
      <c r="GR396" s="12"/>
      <c r="GS396" s="12"/>
      <c r="GT396" s="12"/>
      <c r="GU396" s="12"/>
      <c r="GV396" s="12"/>
      <c r="GW396" s="12"/>
      <c r="GX396" s="12"/>
      <c r="GY396" s="12"/>
      <c r="GZ396" s="12"/>
      <c r="HA396" s="12"/>
      <c r="HB396" s="12"/>
      <c r="HC396" s="12"/>
      <c r="HD396" s="12"/>
      <c r="HE396" s="12"/>
      <c r="HF396" s="12"/>
      <c r="HG396" s="12"/>
      <c r="HH396" s="12"/>
      <c r="HI396" s="12"/>
      <c r="HJ396" s="12"/>
      <c r="HK396" s="12"/>
      <c r="HL396" s="12"/>
      <c r="HM396" s="12"/>
      <c r="HN396" s="12"/>
      <c r="HO396" s="12"/>
      <c r="HP396" s="12"/>
      <c r="HQ396" s="12"/>
      <c r="HR396" s="12"/>
      <c r="HS396" s="12"/>
      <c r="HT396" s="12"/>
      <c r="HU396" s="12"/>
      <c r="HV396" s="12"/>
      <c r="HW396" s="12"/>
      <c r="HX396" s="12"/>
      <c r="HY396" s="12"/>
      <c r="HZ396" s="12"/>
      <c r="IA396" s="12"/>
      <c r="IB396" s="12"/>
      <c r="IC396" s="12"/>
      <c r="ID396" s="12"/>
      <c r="IE396" s="12"/>
      <c r="IF396" s="12"/>
      <c r="IG396" s="12"/>
      <c r="IH396" s="12"/>
      <c r="II396" s="12"/>
      <c r="IJ396" s="12"/>
      <c r="IK396" s="12"/>
      <c r="IL396" s="12"/>
      <c r="IM396" s="12"/>
      <c r="IN396" s="12"/>
      <c r="IO396" s="12"/>
      <c r="IP396" s="12"/>
      <c r="IQ396" s="12"/>
      <c r="IR396" s="12"/>
      <c r="IS396" s="12"/>
      <c r="IT396" s="12"/>
      <c r="IU396" s="12"/>
      <c r="IV396" s="12"/>
      <c r="IW396" s="12"/>
    </row>
    <row r="397" spans="1:257">
      <c r="A397" s="34"/>
      <c r="B397" s="24"/>
      <c r="C397" s="24"/>
      <c r="D397" s="24"/>
      <c r="E397" s="24"/>
      <c r="F397" s="25"/>
      <c r="G397" s="25"/>
      <c r="H397" s="25"/>
      <c r="I397" s="25"/>
      <c r="J397" s="24"/>
      <c r="K397" s="25"/>
      <c r="L397" s="25"/>
      <c r="M397" s="25"/>
      <c r="N397" s="25"/>
      <c r="O397" s="25"/>
      <c r="P397" s="25"/>
      <c r="Q397" s="25"/>
      <c r="R397" s="24"/>
      <c r="S397" s="26">
        <f t="shared" si="28"/>
        <v>0</v>
      </c>
      <c r="T397" s="26">
        <f>COUNTIF($V$4:V397,V397)</f>
        <v>354</v>
      </c>
      <c r="U397" s="26" t="str">
        <f>IF(T397=1,COUNTIF($T$4:T397,1),"")</f>
        <v/>
      </c>
      <c r="V397" s="27" t="str">
        <f t="shared" si="30"/>
        <v/>
      </c>
      <c r="W397" s="27">
        <f t="shared" si="29"/>
        <v>0</v>
      </c>
      <c r="X397" s="28"/>
      <c r="Y397" s="27"/>
      <c r="Z397" s="27"/>
      <c r="AA397" s="27"/>
      <c r="AB397" s="27"/>
      <c r="AC397" s="27"/>
      <c r="AD397" s="27"/>
      <c r="AE397" s="27"/>
      <c r="AF397" s="27"/>
      <c r="AG397" s="27"/>
    </row>
    <row r="398" spans="1:257">
      <c r="A398" s="34"/>
      <c r="B398" s="24"/>
      <c r="C398" s="24"/>
      <c r="D398" s="24"/>
      <c r="E398" s="24"/>
      <c r="F398" s="25"/>
      <c r="G398" s="25"/>
      <c r="H398" s="25"/>
      <c r="I398" s="25"/>
      <c r="J398" s="24"/>
      <c r="K398" s="25"/>
      <c r="L398" s="25"/>
      <c r="M398" s="25"/>
      <c r="N398" s="25"/>
      <c r="O398" s="25"/>
      <c r="P398" s="25"/>
      <c r="Q398" s="25"/>
      <c r="R398" s="24"/>
      <c r="S398" s="26">
        <f t="shared" si="28"/>
        <v>0</v>
      </c>
      <c r="T398" s="26">
        <f>COUNTIF($V$4:V398,V398)</f>
        <v>355</v>
      </c>
      <c r="U398" s="26" t="str">
        <f>IF(T398=1,COUNTIF($T$4:T398,1),"")</f>
        <v/>
      </c>
      <c r="V398" s="27" t="str">
        <f t="shared" si="30"/>
        <v/>
      </c>
      <c r="W398" s="27">
        <f t="shared" si="29"/>
        <v>0</v>
      </c>
      <c r="X398" s="28"/>
      <c r="Y398" s="27"/>
    </row>
    <row r="399" spans="1:257">
      <c r="A399" s="34"/>
      <c r="B399" s="24"/>
      <c r="C399" s="24"/>
      <c r="D399" s="24"/>
      <c r="E399" s="24"/>
      <c r="F399" s="25"/>
      <c r="G399" s="25"/>
      <c r="H399" s="25"/>
      <c r="I399" s="25"/>
      <c r="J399" s="24"/>
      <c r="K399" s="25"/>
      <c r="L399" s="25"/>
      <c r="M399" s="25"/>
      <c r="N399" s="25"/>
      <c r="O399" s="25"/>
      <c r="P399" s="25"/>
      <c r="Q399" s="25"/>
      <c r="R399" s="24"/>
      <c r="S399" s="26">
        <f t="shared" si="28"/>
        <v>0</v>
      </c>
      <c r="T399" s="26">
        <f>COUNTIF($V$4:V399,V399)</f>
        <v>356</v>
      </c>
      <c r="U399" s="26" t="str">
        <f>IF(T399=1,COUNTIF($T$4:T399,1),"")</f>
        <v/>
      </c>
      <c r="V399" s="27" t="str">
        <f t="shared" si="30"/>
        <v/>
      </c>
      <c r="W399" s="27">
        <f t="shared" si="29"/>
        <v>0</v>
      </c>
      <c r="X399" s="28"/>
      <c r="Y399" s="27"/>
    </row>
    <row r="400" spans="1:257">
      <c r="A400" s="34"/>
      <c r="B400" s="24"/>
      <c r="C400" s="24"/>
      <c r="D400" s="24"/>
      <c r="E400" s="24"/>
      <c r="F400" s="25"/>
      <c r="G400" s="25"/>
      <c r="H400" s="25"/>
      <c r="I400" s="25"/>
      <c r="J400" s="24"/>
      <c r="K400" s="25"/>
      <c r="L400" s="25"/>
      <c r="M400" s="25"/>
      <c r="N400" s="25"/>
      <c r="O400" s="25"/>
      <c r="P400" s="25"/>
      <c r="Q400" s="25"/>
      <c r="R400" s="24"/>
      <c r="S400" s="26">
        <f t="shared" si="28"/>
        <v>0</v>
      </c>
      <c r="T400" s="26">
        <f>COUNTIF($V$4:V400,V400)</f>
        <v>357</v>
      </c>
      <c r="U400" s="26" t="str">
        <f>IF(T400=1,COUNTIF($T$4:T400,1),"")</f>
        <v/>
      </c>
      <c r="V400" s="27" t="str">
        <f t="shared" si="30"/>
        <v/>
      </c>
      <c r="W400" s="27">
        <f t="shared" si="29"/>
        <v>0</v>
      </c>
      <c r="X400" s="28"/>
      <c r="Y400" s="27"/>
    </row>
    <row r="401" spans="1:25">
      <c r="A401" s="34"/>
      <c r="B401" s="24"/>
      <c r="C401" s="24"/>
      <c r="D401" s="24"/>
      <c r="E401" s="24"/>
      <c r="F401" s="25"/>
      <c r="G401" s="25"/>
      <c r="H401" s="25"/>
      <c r="I401" s="25"/>
      <c r="J401" s="24"/>
      <c r="K401" s="25"/>
      <c r="L401" s="25"/>
      <c r="M401" s="25"/>
      <c r="N401" s="25"/>
      <c r="O401" s="25"/>
      <c r="P401" s="25"/>
      <c r="Q401" s="25"/>
      <c r="R401" s="24"/>
      <c r="S401" s="26">
        <f t="shared" si="28"/>
        <v>0</v>
      </c>
      <c r="T401" s="26">
        <f>COUNTIF($V$4:V401,V401)</f>
        <v>358</v>
      </c>
      <c r="U401" s="26" t="str">
        <f>IF(T401=1,COUNTIF($T$4:T401,1),"")</f>
        <v/>
      </c>
      <c r="V401" s="27" t="str">
        <f t="shared" si="30"/>
        <v/>
      </c>
      <c r="W401" s="27">
        <f t="shared" si="29"/>
        <v>0</v>
      </c>
      <c r="X401" s="28"/>
      <c r="Y401" s="27"/>
    </row>
    <row r="402" spans="1:25">
      <c r="A402" s="34"/>
      <c r="B402" s="24"/>
      <c r="C402" s="24"/>
      <c r="D402" s="24"/>
      <c r="E402" s="24"/>
      <c r="F402" s="25"/>
      <c r="G402" s="25"/>
      <c r="H402" s="25"/>
      <c r="I402" s="25"/>
      <c r="J402" s="24"/>
      <c r="K402" s="25"/>
      <c r="L402" s="25"/>
      <c r="M402" s="25"/>
      <c r="N402" s="25"/>
      <c r="O402" s="25"/>
      <c r="P402" s="25"/>
      <c r="Q402" s="25"/>
      <c r="R402" s="24"/>
      <c r="S402" s="26">
        <f t="shared" si="28"/>
        <v>0</v>
      </c>
      <c r="T402" s="26">
        <f>COUNTIF($V$4:V402,V402)</f>
        <v>359</v>
      </c>
      <c r="U402" s="26" t="str">
        <f>IF(T402=1,COUNTIF($T$4:T402,1),"")</f>
        <v/>
      </c>
      <c r="V402" s="27" t="str">
        <f t="shared" si="30"/>
        <v/>
      </c>
      <c r="W402" s="27">
        <f t="shared" si="29"/>
        <v>0</v>
      </c>
      <c r="X402" s="28"/>
      <c r="Y402" s="27"/>
    </row>
    <row r="403" spans="1:25">
      <c r="A403" s="34"/>
      <c r="B403" s="24"/>
      <c r="C403" s="24"/>
      <c r="D403" s="24"/>
      <c r="E403" s="24"/>
      <c r="F403" s="25"/>
      <c r="G403" s="25"/>
      <c r="H403" s="25"/>
      <c r="I403" s="25"/>
      <c r="J403" s="24"/>
      <c r="K403" s="25"/>
      <c r="L403" s="25"/>
      <c r="M403" s="25"/>
      <c r="N403" s="25"/>
      <c r="O403" s="25"/>
      <c r="P403" s="25"/>
      <c r="Q403" s="25"/>
      <c r="R403" s="24"/>
      <c r="S403" s="26">
        <f t="shared" si="28"/>
        <v>0</v>
      </c>
      <c r="T403" s="26">
        <f>COUNTIF($V$4:V403,V403)</f>
        <v>360</v>
      </c>
      <c r="U403" s="26" t="str">
        <f>IF(T403=1,COUNTIF($T$4:T403,1),"")</f>
        <v/>
      </c>
      <c r="V403" s="27" t="str">
        <f t="shared" si="30"/>
        <v/>
      </c>
      <c r="W403" s="27">
        <f t="shared" si="29"/>
        <v>0</v>
      </c>
      <c r="X403" s="28"/>
      <c r="Y403" s="27"/>
    </row>
    <row r="404" spans="1:25">
      <c r="A404" s="34"/>
      <c r="B404" s="24"/>
      <c r="C404" s="24"/>
      <c r="D404" s="24"/>
      <c r="E404" s="24"/>
      <c r="F404" s="25"/>
      <c r="G404" s="25"/>
      <c r="H404" s="25"/>
      <c r="I404" s="25"/>
      <c r="J404" s="24"/>
      <c r="K404" s="25"/>
      <c r="L404" s="25"/>
      <c r="M404" s="25"/>
      <c r="N404" s="25"/>
      <c r="O404" s="25"/>
      <c r="P404" s="25"/>
      <c r="Q404" s="25"/>
      <c r="R404" s="24"/>
      <c r="S404" s="26">
        <f t="shared" si="28"/>
        <v>0</v>
      </c>
      <c r="T404" s="26">
        <f>COUNTIF($V$4:V404,V404)</f>
        <v>361</v>
      </c>
      <c r="U404" s="26" t="str">
        <f>IF(T404=1,COUNTIF($T$4:T404,1),"")</f>
        <v/>
      </c>
      <c r="V404" s="27" t="str">
        <f t="shared" si="30"/>
        <v/>
      </c>
      <c r="W404" s="27">
        <f t="shared" si="29"/>
        <v>0</v>
      </c>
      <c r="X404" s="28"/>
      <c r="Y404" s="27"/>
    </row>
    <row r="405" spans="1:25">
      <c r="A405" s="34"/>
      <c r="B405" s="24"/>
      <c r="C405" s="24"/>
      <c r="D405" s="24"/>
      <c r="E405" s="24"/>
      <c r="F405" s="25"/>
      <c r="G405" s="25"/>
      <c r="H405" s="25"/>
      <c r="I405" s="25"/>
      <c r="J405" s="24"/>
      <c r="K405" s="25"/>
      <c r="L405" s="25"/>
      <c r="M405" s="25"/>
      <c r="N405" s="25"/>
      <c r="O405" s="25"/>
      <c r="P405" s="25"/>
      <c r="Q405" s="25"/>
      <c r="R405" s="24"/>
      <c r="S405" s="26">
        <f t="shared" si="28"/>
        <v>0</v>
      </c>
      <c r="T405" s="26">
        <f>COUNTIF($V$4:V405,V405)</f>
        <v>362</v>
      </c>
      <c r="U405" s="26" t="str">
        <f>IF(T405=1,COUNTIF($T$4:T405,1),"")</f>
        <v/>
      </c>
      <c r="V405" s="27" t="str">
        <f t="shared" si="30"/>
        <v/>
      </c>
      <c r="W405" s="27">
        <f t="shared" si="29"/>
        <v>0</v>
      </c>
      <c r="X405" s="28"/>
      <c r="Y405" s="27"/>
    </row>
    <row r="406" spans="1:25">
      <c r="A406" s="34"/>
      <c r="B406" s="24"/>
      <c r="C406" s="24"/>
      <c r="D406" s="24"/>
      <c r="E406" s="24"/>
      <c r="F406" s="25"/>
      <c r="G406" s="25"/>
      <c r="H406" s="25"/>
      <c r="I406" s="25"/>
      <c r="J406" s="24"/>
      <c r="K406" s="25"/>
      <c r="L406" s="25"/>
      <c r="M406" s="25"/>
      <c r="N406" s="25"/>
      <c r="O406" s="25"/>
      <c r="P406" s="25"/>
      <c r="Q406" s="25"/>
      <c r="R406" s="24"/>
      <c r="S406" s="26">
        <f t="shared" si="28"/>
        <v>0</v>
      </c>
      <c r="T406" s="26">
        <f>COUNTIF($V$4:V406,V406)</f>
        <v>363</v>
      </c>
      <c r="U406" s="26" t="str">
        <f>IF(T406=1,COUNTIF($T$4:T406,1),"")</f>
        <v/>
      </c>
      <c r="V406" s="27" t="str">
        <f t="shared" si="30"/>
        <v/>
      </c>
      <c r="W406" s="27">
        <f t="shared" si="29"/>
        <v>0</v>
      </c>
      <c r="X406" s="28"/>
      <c r="Y406" s="27"/>
    </row>
    <row r="407" spans="1:25">
      <c r="A407" s="34"/>
      <c r="B407" s="24"/>
      <c r="C407" s="24"/>
      <c r="D407" s="24"/>
      <c r="E407" s="24"/>
      <c r="F407" s="25"/>
      <c r="G407" s="25"/>
      <c r="H407" s="25"/>
      <c r="I407" s="25"/>
      <c r="J407" s="24"/>
      <c r="K407" s="25"/>
      <c r="L407" s="25"/>
      <c r="M407" s="25"/>
      <c r="N407" s="25"/>
      <c r="O407" s="25"/>
      <c r="P407" s="25"/>
      <c r="Q407" s="25"/>
      <c r="R407" s="24"/>
      <c r="S407" s="26">
        <f t="shared" si="28"/>
        <v>0</v>
      </c>
      <c r="T407" s="26">
        <f>COUNTIF($V$4:V407,V407)</f>
        <v>364</v>
      </c>
      <c r="U407" s="26" t="str">
        <f>IF(T407=1,COUNTIF($T$4:T407,1),"")</f>
        <v/>
      </c>
      <c r="V407" s="27" t="str">
        <f t="shared" si="30"/>
        <v/>
      </c>
      <c r="W407" s="27">
        <f t="shared" si="29"/>
        <v>0</v>
      </c>
      <c r="X407" s="28"/>
      <c r="Y407" s="27"/>
    </row>
    <row r="408" spans="1:25">
      <c r="A408" s="34"/>
      <c r="B408" s="24"/>
      <c r="C408" s="24"/>
      <c r="D408" s="24"/>
      <c r="E408" s="24"/>
      <c r="F408" s="25"/>
      <c r="G408" s="25"/>
      <c r="H408" s="25"/>
      <c r="I408" s="25"/>
      <c r="J408" s="24"/>
      <c r="K408" s="25"/>
      <c r="L408" s="25"/>
      <c r="M408" s="25"/>
      <c r="N408" s="25"/>
      <c r="O408" s="25"/>
      <c r="P408" s="25"/>
      <c r="Q408" s="25"/>
      <c r="R408" s="24"/>
      <c r="S408" s="26">
        <f t="shared" si="28"/>
        <v>0</v>
      </c>
      <c r="T408" s="26">
        <f>COUNTIF($V$4:V408,V408)</f>
        <v>365</v>
      </c>
      <c r="U408" s="26" t="str">
        <f>IF(T408=1,COUNTIF($T$4:T408,1),"")</f>
        <v/>
      </c>
      <c r="V408" s="27" t="str">
        <f t="shared" si="30"/>
        <v/>
      </c>
      <c r="W408" s="27">
        <f t="shared" si="29"/>
        <v>0</v>
      </c>
      <c r="X408" s="28"/>
      <c r="Y408" s="27"/>
    </row>
    <row r="409" spans="1:25">
      <c r="A409" s="34"/>
      <c r="B409" s="24"/>
      <c r="C409" s="24"/>
      <c r="D409" s="24"/>
      <c r="E409" s="24"/>
      <c r="F409" s="25"/>
      <c r="G409" s="25"/>
      <c r="H409" s="25"/>
      <c r="I409" s="25"/>
      <c r="J409" s="24"/>
      <c r="K409" s="25"/>
      <c r="L409" s="25"/>
      <c r="M409" s="25"/>
      <c r="N409" s="25"/>
      <c r="O409" s="25"/>
      <c r="P409" s="25"/>
      <c r="Q409" s="25"/>
      <c r="R409" s="24"/>
      <c r="S409" s="26">
        <f t="shared" si="28"/>
        <v>0</v>
      </c>
      <c r="T409" s="26">
        <f>COUNTIF($V$4:V409,V409)</f>
        <v>366</v>
      </c>
      <c r="U409" s="26" t="str">
        <f>IF(T409=1,COUNTIF($T$4:T409,1),"")</f>
        <v/>
      </c>
      <c r="V409" s="27" t="str">
        <f t="shared" si="30"/>
        <v/>
      </c>
      <c r="W409" s="27">
        <f t="shared" si="29"/>
        <v>0</v>
      </c>
      <c r="X409" s="28"/>
      <c r="Y409" s="27"/>
    </row>
    <row r="410" spans="1:25">
      <c r="A410" s="34"/>
      <c r="B410" s="24"/>
      <c r="C410" s="24"/>
      <c r="D410" s="24"/>
      <c r="E410" s="24"/>
      <c r="F410" s="25"/>
      <c r="G410" s="25"/>
      <c r="H410" s="25"/>
      <c r="I410" s="25"/>
      <c r="J410" s="24"/>
      <c r="K410" s="25"/>
      <c r="L410" s="25"/>
      <c r="M410" s="25"/>
      <c r="N410" s="25"/>
      <c r="O410" s="25"/>
      <c r="P410" s="25"/>
      <c r="Q410" s="25"/>
      <c r="R410" s="24"/>
      <c r="S410" s="26">
        <f t="shared" si="28"/>
        <v>0</v>
      </c>
      <c r="T410" s="26">
        <f>COUNTIF($V$4:V410,V410)</f>
        <v>367</v>
      </c>
      <c r="U410" s="26" t="str">
        <f>IF(T410=1,COUNTIF($T$4:T410,1),"")</f>
        <v/>
      </c>
      <c r="V410" s="27" t="str">
        <f t="shared" si="30"/>
        <v/>
      </c>
      <c r="W410" s="27">
        <f t="shared" si="29"/>
        <v>0</v>
      </c>
      <c r="X410" s="28"/>
      <c r="Y410" s="27"/>
    </row>
    <row r="411" spans="1:25">
      <c r="A411" s="34"/>
      <c r="B411" s="24"/>
      <c r="C411" s="24"/>
      <c r="D411" s="24"/>
      <c r="E411" s="24"/>
      <c r="F411" s="25"/>
      <c r="G411" s="25"/>
      <c r="H411" s="25"/>
      <c r="I411" s="25"/>
      <c r="J411" s="24"/>
      <c r="K411" s="25"/>
      <c r="L411" s="25"/>
      <c r="M411" s="25"/>
      <c r="N411" s="25"/>
      <c r="O411" s="25"/>
      <c r="P411" s="25"/>
      <c r="Q411" s="25"/>
      <c r="R411" s="24"/>
      <c r="S411" s="26">
        <f t="shared" si="28"/>
        <v>0</v>
      </c>
      <c r="T411" s="26">
        <f>COUNTIF($V$4:V411,V411)</f>
        <v>368</v>
      </c>
      <c r="U411" s="26" t="str">
        <f>IF(T411=1,COUNTIF($T$4:T411,1),"")</f>
        <v/>
      </c>
      <c r="V411" s="27" t="str">
        <f t="shared" si="30"/>
        <v/>
      </c>
      <c r="W411" s="27">
        <f t="shared" si="29"/>
        <v>0</v>
      </c>
      <c r="X411" s="28"/>
      <c r="Y411" s="27"/>
    </row>
    <row r="412" spans="1:25">
      <c r="A412" s="34"/>
      <c r="B412" s="24"/>
      <c r="C412" s="24"/>
      <c r="D412" s="24"/>
      <c r="E412" s="24"/>
      <c r="F412" s="25"/>
      <c r="G412" s="25"/>
      <c r="H412" s="25"/>
      <c r="I412" s="25"/>
      <c r="J412" s="24"/>
      <c r="K412" s="25"/>
      <c r="L412" s="25"/>
      <c r="M412" s="25"/>
      <c r="N412" s="25"/>
      <c r="O412" s="25"/>
      <c r="P412" s="25"/>
      <c r="Q412" s="25"/>
      <c r="R412" s="24"/>
      <c r="S412" s="26">
        <f t="shared" si="28"/>
        <v>0</v>
      </c>
      <c r="T412" s="26">
        <f>COUNTIF($V$4:V412,V412)</f>
        <v>369</v>
      </c>
      <c r="U412" s="26" t="str">
        <f>IF(T412=1,COUNTIF($T$4:T412,1),"")</f>
        <v/>
      </c>
      <c r="V412" s="27" t="str">
        <f t="shared" si="30"/>
        <v/>
      </c>
      <c r="W412" s="27">
        <f t="shared" si="29"/>
        <v>0</v>
      </c>
      <c r="X412" s="28"/>
      <c r="Y412" s="27"/>
    </row>
    <row r="413" spans="1:25">
      <c r="A413" s="34"/>
      <c r="B413" s="24"/>
      <c r="C413" s="24"/>
      <c r="D413" s="24"/>
      <c r="E413" s="24"/>
      <c r="F413" s="25"/>
      <c r="G413" s="25"/>
      <c r="H413" s="25"/>
      <c r="I413" s="25"/>
      <c r="J413" s="24"/>
      <c r="K413" s="25"/>
      <c r="L413" s="25"/>
      <c r="M413" s="25"/>
      <c r="N413" s="25"/>
      <c r="O413" s="25"/>
      <c r="P413" s="25"/>
      <c r="Q413" s="25"/>
      <c r="R413" s="24"/>
      <c r="S413" s="26">
        <f t="shared" si="28"/>
        <v>0</v>
      </c>
      <c r="T413" s="26">
        <f>COUNTIF($V$4:V413,V413)</f>
        <v>370</v>
      </c>
      <c r="U413" s="26" t="str">
        <f>IF(T413=1,COUNTIF($T$4:T413,1),"")</f>
        <v/>
      </c>
      <c r="V413" s="27" t="str">
        <f t="shared" si="30"/>
        <v/>
      </c>
      <c r="W413" s="27">
        <f t="shared" si="29"/>
        <v>0</v>
      </c>
      <c r="X413" s="28"/>
      <c r="Y413" s="27"/>
    </row>
    <row r="414" spans="1:25">
      <c r="A414" s="34"/>
      <c r="B414" s="24"/>
      <c r="C414" s="24"/>
      <c r="D414" s="24"/>
      <c r="E414" s="24"/>
      <c r="F414" s="25"/>
      <c r="G414" s="25"/>
      <c r="H414" s="25"/>
      <c r="I414" s="25"/>
      <c r="J414" s="24"/>
      <c r="K414" s="25"/>
      <c r="L414" s="25"/>
      <c r="M414" s="25"/>
      <c r="N414" s="25"/>
      <c r="O414" s="25"/>
      <c r="P414" s="25"/>
      <c r="Q414" s="25"/>
      <c r="R414" s="24"/>
      <c r="S414" s="26">
        <f t="shared" si="28"/>
        <v>0</v>
      </c>
      <c r="T414" s="26">
        <f>COUNTIF($V$4:V414,V414)</f>
        <v>371</v>
      </c>
      <c r="U414" s="26" t="str">
        <f>IF(T414=1,COUNTIF($T$4:T414,1),"")</f>
        <v/>
      </c>
      <c r="V414" s="27" t="str">
        <f t="shared" si="30"/>
        <v/>
      </c>
      <c r="W414" s="27">
        <f t="shared" si="29"/>
        <v>0</v>
      </c>
      <c r="X414" s="28"/>
      <c r="Y414" s="27"/>
    </row>
    <row r="415" spans="1:25">
      <c r="A415" s="34"/>
      <c r="B415" s="24"/>
      <c r="C415" s="24"/>
      <c r="D415" s="24"/>
      <c r="E415" s="24"/>
      <c r="F415" s="25"/>
      <c r="G415" s="25"/>
      <c r="H415" s="25"/>
      <c r="I415" s="25"/>
      <c r="J415" s="24"/>
      <c r="K415" s="25"/>
      <c r="L415" s="25"/>
      <c r="M415" s="25"/>
      <c r="N415" s="25"/>
      <c r="O415" s="25"/>
      <c r="P415" s="25"/>
      <c r="Q415" s="25"/>
      <c r="R415" s="24"/>
      <c r="S415" s="26">
        <f t="shared" si="28"/>
        <v>0</v>
      </c>
      <c r="T415" s="26">
        <f>COUNTIF($V$4:V415,V415)</f>
        <v>372</v>
      </c>
      <c r="U415" s="26" t="str">
        <f>IF(T415=1,COUNTIF($T$4:T415,1),"")</f>
        <v/>
      </c>
      <c r="V415" s="27" t="str">
        <f t="shared" si="30"/>
        <v/>
      </c>
      <c r="W415" s="27">
        <f t="shared" si="29"/>
        <v>0</v>
      </c>
      <c r="X415" s="28"/>
      <c r="Y415" s="27"/>
    </row>
    <row r="416" spans="1:25">
      <c r="A416" s="34"/>
      <c r="B416" s="24"/>
      <c r="C416" s="24"/>
      <c r="D416" s="24"/>
      <c r="E416" s="24"/>
      <c r="F416" s="25"/>
      <c r="G416" s="25"/>
      <c r="H416" s="25"/>
      <c r="I416" s="25"/>
      <c r="J416" s="24"/>
      <c r="K416" s="25"/>
      <c r="L416" s="25"/>
      <c r="M416" s="25"/>
      <c r="N416" s="25"/>
      <c r="O416" s="25"/>
      <c r="P416" s="25"/>
      <c r="Q416" s="25"/>
      <c r="R416" s="24"/>
      <c r="S416" s="26">
        <f t="shared" si="28"/>
        <v>0</v>
      </c>
      <c r="T416" s="26">
        <f>COUNTIF($V$4:V416,V416)</f>
        <v>373</v>
      </c>
      <c r="U416" s="26" t="str">
        <f>IF(T416=1,COUNTIF($T$4:T416,1),"")</f>
        <v/>
      </c>
      <c r="V416" s="27" t="str">
        <f t="shared" si="30"/>
        <v/>
      </c>
      <c r="W416" s="27">
        <f t="shared" si="29"/>
        <v>0</v>
      </c>
      <c r="X416" s="28"/>
      <c r="Y416" s="27"/>
    </row>
    <row r="417" spans="1:25">
      <c r="A417" s="34"/>
      <c r="B417" s="24"/>
      <c r="C417" s="24"/>
      <c r="D417" s="24"/>
      <c r="E417" s="24"/>
      <c r="F417" s="25"/>
      <c r="G417" s="25"/>
      <c r="H417" s="25"/>
      <c r="I417" s="25"/>
      <c r="J417" s="24"/>
      <c r="K417" s="25"/>
      <c r="L417" s="25"/>
      <c r="M417" s="25"/>
      <c r="N417" s="25"/>
      <c r="O417" s="25"/>
      <c r="P417" s="25"/>
      <c r="Q417" s="25"/>
      <c r="R417" s="24"/>
      <c r="S417" s="26">
        <f t="shared" si="28"/>
        <v>0</v>
      </c>
      <c r="T417" s="26">
        <f>COUNTIF($V$4:V417,V417)</f>
        <v>374</v>
      </c>
      <c r="U417" s="26" t="str">
        <f>IF(T417=1,COUNTIF($T$4:T417,1),"")</f>
        <v/>
      </c>
      <c r="V417" s="27" t="str">
        <f t="shared" si="30"/>
        <v/>
      </c>
      <c r="W417" s="27">
        <f t="shared" si="29"/>
        <v>0</v>
      </c>
      <c r="X417" s="28"/>
      <c r="Y417" s="27"/>
    </row>
    <row r="418" spans="1:25">
      <c r="A418" s="34"/>
      <c r="B418" s="24"/>
      <c r="C418" s="24"/>
      <c r="D418" s="24"/>
      <c r="E418" s="24"/>
      <c r="F418" s="25"/>
      <c r="G418" s="25"/>
      <c r="H418" s="25"/>
      <c r="I418" s="25"/>
      <c r="J418" s="24"/>
      <c r="K418" s="25"/>
      <c r="L418" s="25"/>
      <c r="M418" s="25"/>
      <c r="N418" s="25"/>
      <c r="O418" s="25"/>
      <c r="P418" s="25"/>
      <c r="Q418" s="25"/>
      <c r="R418" s="24"/>
      <c r="S418" s="26">
        <f t="shared" si="28"/>
        <v>0</v>
      </c>
      <c r="T418" s="26">
        <f>COUNTIF($V$4:V418,V418)</f>
        <v>375</v>
      </c>
      <c r="U418" s="26" t="str">
        <f>IF(T418=1,COUNTIF($T$4:T418,1),"")</f>
        <v/>
      </c>
      <c r="V418" s="27" t="str">
        <f t="shared" si="30"/>
        <v/>
      </c>
      <c r="W418" s="27">
        <f t="shared" si="29"/>
        <v>0</v>
      </c>
      <c r="X418" s="28"/>
      <c r="Y418" s="27"/>
    </row>
    <row r="419" spans="1:25">
      <c r="A419" s="34"/>
      <c r="B419" s="24"/>
      <c r="C419" s="24"/>
      <c r="D419" s="24"/>
      <c r="E419" s="24"/>
      <c r="F419" s="25"/>
      <c r="G419" s="25"/>
      <c r="H419" s="25"/>
      <c r="I419" s="25"/>
      <c r="J419" s="24"/>
      <c r="K419" s="25"/>
      <c r="L419" s="25"/>
      <c r="M419" s="25"/>
      <c r="N419" s="25"/>
      <c r="O419" s="25"/>
      <c r="P419" s="25"/>
      <c r="Q419" s="25"/>
      <c r="R419" s="24"/>
      <c r="S419" s="26">
        <f t="shared" si="28"/>
        <v>0</v>
      </c>
      <c r="T419" s="26">
        <f>COUNTIF($V$4:V419,V419)</f>
        <v>376</v>
      </c>
      <c r="U419" s="26" t="str">
        <f>IF(T419=1,COUNTIF($T$4:T419,1),"")</f>
        <v/>
      </c>
      <c r="V419" s="27" t="str">
        <f t="shared" si="30"/>
        <v/>
      </c>
      <c r="W419" s="27">
        <f t="shared" si="29"/>
        <v>0</v>
      </c>
      <c r="X419" s="28"/>
      <c r="Y419" s="27"/>
    </row>
    <row r="420" spans="1:25">
      <c r="A420" s="34"/>
      <c r="B420" s="24"/>
      <c r="C420" s="24"/>
      <c r="D420" s="24"/>
      <c r="E420" s="24"/>
      <c r="F420" s="25"/>
      <c r="G420" s="25"/>
      <c r="H420" s="25"/>
      <c r="I420" s="25"/>
      <c r="J420" s="24"/>
      <c r="K420" s="25"/>
      <c r="L420" s="25"/>
      <c r="M420" s="48"/>
      <c r="N420" s="48"/>
      <c r="O420" s="48"/>
      <c r="P420" s="25"/>
      <c r="Q420" s="25"/>
      <c r="R420" s="24"/>
      <c r="S420" s="26">
        <f t="shared" si="28"/>
        <v>0</v>
      </c>
      <c r="T420" s="26">
        <f>COUNTIF($V$4:V420,V420)</f>
        <v>377</v>
      </c>
      <c r="U420" s="26" t="str">
        <f>IF(T420=1,COUNTIF($T$4:T420,1),"")</f>
        <v/>
      </c>
      <c r="V420" s="27" t="str">
        <f t="shared" si="30"/>
        <v/>
      </c>
      <c r="W420" s="27">
        <f t="shared" si="29"/>
        <v>0</v>
      </c>
      <c r="X420" s="28"/>
      <c r="Y420" s="27"/>
    </row>
    <row r="421" spans="1:25">
      <c r="A421" s="34"/>
      <c r="B421" s="24"/>
      <c r="C421" s="24"/>
      <c r="D421" s="24"/>
      <c r="E421" s="24"/>
      <c r="F421" s="25"/>
      <c r="G421" s="25"/>
      <c r="H421" s="25"/>
      <c r="I421" s="25"/>
      <c r="J421" s="24"/>
      <c r="K421" s="25"/>
      <c r="L421" s="25"/>
      <c r="M421" s="48"/>
      <c r="N421" s="48"/>
      <c r="O421" s="48"/>
      <c r="P421" s="25"/>
      <c r="Q421" s="25"/>
      <c r="R421" s="24"/>
      <c r="S421" s="26">
        <f t="shared" si="28"/>
        <v>0</v>
      </c>
      <c r="T421" s="26">
        <f>COUNTIF($V$4:V421,V421)</f>
        <v>378</v>
      </c>
      <c r="U421" s="26" t="str">
        <f>IF(T421=1,COUNTIF($T$4:T421,1),"")</f>
        <v/>
      </c>
      <c r="V421" s="27" t="str">
        <f t="shared" si="30"/>
        <v/>
      </c>
      <c r="W421" s="27">
        <f t="shared" si="29"/>
        <v>0</v>
      </c>
      <c r="X421" s="28"/>
      <c r="Y421" s="27"/>
    </row>
    <row r="422" spans="1:25">
      <c r="A422" s="34"/>
      <c r="B422" s="24"/>
      <c r="C422" s="24"/>
      <c r="D422" s="24"/>
      <c r="E422" s="24"/>
      <c r="F422" s="25"/>
      <c r="G422" s="25"/>
      <c r="H422" s="25"/>
      <c r="I422" s="25"/>
      <c r="J422" s="24"/>
      <c r="K422" s="25"/>
      <c r="L422" s="25"/>
      <c r="M422" s="48"/>
      <c r="N422" s="48"/>
      <c r="O422" s="48"/>
      <c r="P422" s="25"/>
      <c r="Q422" s="25"/>
      <c r="R422" s="24"/>
      <c r="S422" s="26">
        <f t="shared" si="28"/>
        <v>0</v>
      </c>
      <c r="T422" s="26">
        <f>COUNTIF($V$4:V422,V422)</f>
        <v>379</v>
      </c>
      <c r="U422" s="26" t="str">
        <f>IF(T422=1,COUNTIF($T$4:T422,1),"")</f>
        <v/>
      </c>
      <c r="V422" s="27" t="str">
        <f t="shared" si="30"/>
        <v/>
      </c>
      <c r="W422" s="27">
        <f t="shared" si="29"/>
        <v>0</v>
      </c>
      <c r="X422" s="28"/>
      <c r="Y422" s="27"/>
    </row>
    <row r="423" spans="1:25">
      <c r="A423" s="34"/>
      <c r="B423" s="24"/>
      <c r="C423" s="24"/>
      <c r="D423" s="24"/>
      <c r="E423" s="24"/>
      <c r="F423" s="25"/>
      <c r="G423" s="25"/>
      <c r="H423" s="25"/>
      <c r="I423" s="25"/>
      <c r="J423" s="24"/>
      <c r="K423" s="25"/>
      <c r="L423" s="25"/>
      <c r="M423" s="48"/>
      <c r="N423" s="48"/>
      <c r="O423" s="48"/>
      <c r="P423" s="25"/>
      <c r="Q423" s="25"/>
      <c r="R423" s="24"/>
      <c r="S423" s="26">
        <f t="shared" si="28"/>
        <v>0</v>
      </c>
      <c r="T423" s="26">
        <f>COUNTIF($V$4:V423,V423)</f>
        <v>380</v>
      </c>
      <c r="U423" s="26" t="str">
        <f>IF(T423=1,COUNTIF($T$4:T423,1),"")</f>
        <v/>
      </c>
      <c r="V423" s="27" t="str">
        <f t="shared" si="30"/>
        <v/>
      </c>
      <c r="W423" s="27">
        <f t="shared" si="29"/>
        <v>0</v>
      </c>
      <c r="X423" s="28"/>
      <c r="Y423" s="27"/>
    </row>
    <row r="424" spans="1:25">
      <c r="A424" s="34"/>
      <c r="B424" s="24"/>
      <c r="C424" s="24"/>
      <c r="D424" s="24"/>
      <c r="E424" s="24"/>
      <c r="F424" s="25"/>
      <c r="G424" s="25"/>
      <c r="H424" s="25"/>
      <c r="I424" s="25"/>
      <c r="J424" s="24"/>
      <c r="K424" s="25"/>
      <c r="L424" s="25"/>
      <c r="M424" s="48"/>
      <c r="N424" s="48"/>
      <c r="O424" s="48"/>
      <c r="P424" s="25"/>
      <c r="Q424" s="25"/>
      <c r="R424" s="24"/>
      <c r="S424" s="26">
        <f t="shared" si="28"/>
        <v>0</v>
      </c>
      <c r="T424" s="26">
        <f>COUNTIF($V$4:V424,V424)</f>
        <v>381</v>
      </c>
      <c r="U424" s="26" t="str">
        <f>IF(T424=1,COUNTIF($T$4:T424,1),"")</f>
        <v/>
      </c>
      <c r="V424" s="27" t="str">
        <f t="shared" si="30"/>
        <v/>
      </c>
      <c r="W424" s="27">
        <f t="shared" si="29"/>
        <v>0</v>
      </c>
      <c r="X424" s="28"/>
      <c r="Y424" s="27"/>
    </row>
    <row r="425" spans="1:25">
      <c r="A425" s="34"/>
      <c r="B425" s="24"/>
      <c r="C425" s="24"/>
      <c r="D425" s="24"/>
      <c r="E425" s="24"/>
      <c r="F425" s="25"/>
      <c r="G425" s="25"/>
      <c r="H425" s="25"/>
      <c r="I425" s="25"/>
      <c r="J425" s="24"/>
      <c r="K425" s="25"/>
      <c r="L425" s="25"/>
      <c r="M425" s="48"/>
      <c r="N425" s="48"/>
      <c r="O425" s="48"/>
      <c r="P425" s="25"/>
      <c r="Q425" s="25"/>
      <c r="R425" s="24"/>
      <c r="S425" s="26">
        <f t="shared" si="28"/>
        <v>0</v>
      </c>
      <c r="T425" s="26">
        <f>COUNTIF($V$4:V425,V425)</f>
        <v>382</v>
      </c>
      <c r="U425" s="26" t="str">
        <f>IF(T425=1,COUNTIF($T$4:T425,1),"")</f>
        <v/>
      </c>
      <c r="V425" s="27" t="str">
        <f t="shared" si="30"/>
        <v/>
      </c>
      <c r="W425" s="27">
        <f t="shared" si="29"/>
        <v>0</v>
      </c>
      <c r="X425" s="28"/>
      <c r="Y425" s="27"/>
    </row>
    <row r="426" spans="1:25">
      <c r="A426" s="34"/>
      <c r="B426" s="24"/>
      <c r="C426" s="24"/>
      <c r="D426" s="24"/>
      <c r="E426" s="24"/>
      <c r="F426" s="25"/>
      <c r="G426" s="25"/>
      <c r="H426" s="25"/>
      <c r="I426" s="25"/>
      <c r="J426" s="24"/>
      <c r="K426" s="25"/>
      <c r="L426" s="25"/>
      <c r="M426" s="48"/>
      <c r="N426" s="48"/>
      <c r="O426" s="48"/>
      <c r="P426" s="25"/>
      <c r="Q426" s="25"/>
      <c r="R426" s="24"/>
      <c r="S426" s="26">
        <f t="shared" si="28"/>
        <v>0</v>
      </c>
      <c r="T426" s="26">
        <f>COUNTIF($V$4:V426,V426)</f>
        <v>383</v>
      </c>
      <c r="U426" s="26" t="str">
        <f>IF(T426=1,COUNTIF($T$4:T426,1),"")</f>
        <v/>
      </c>
      <c r="V426" s="27" t="str">
        <f t="shared" si="30"/>
        <v/>
      </c>
      <c r="W426" s="27">
        <f t="shared" si="29"/>
        <v>0</v>
      </c>
      <c r="X426" s="28"/>
      <c r="Y426" s="27"/>
    </row>
    <row r="427" spans="1:25">
      <c r="A427" s="34"/>
      <c r="B427" s="24"/>
      <c r="C427" s="24"/>
      <c r="D427" s="24"/>
      <c r="E427" s="24"/>
      <c r="F427" s="25"/>
      <c r="G427" s="25"/>
      <c r="H427" s="25"/>
      <c r="I427" s="25"/>
      <c r="J427" s="24"/>
      <c r="K427" s="25"/>
      <c r="L427" s="25"/>
      <c r="M427" s="48"/>
      <c r="N427" s="48"/>
      <c r="O427" s="48"/>
      <c r="P427" s="25"/>
      <c r="Q427" s="25"/>
      <c r="R427" s="24"/>
      <c r="S427" s="26">
        <f t="shared" si="28"/>
        <v>0</v>
      </c>
      <c r="T427" s="26">
        <f>COUNTIF($V$4:V427,V427)</f>
        <v>384</v>
      </c>
      <c r="U427" s="26" t="str">
        <f>IF(T427=1,COUNTIF($T$4:T427,1),"")</f>
        <v/>
      </c>
      <c r="V427" s="27" t="str">
        <f t="shared" si="30"/>
        <v/>
      </c>
      <c r="W427" s="27">
        <f t="shared" si="29"/>
        <v>0</v>
      </c>
      <c r="X427" s="28"/>
      <c r="Y427" s="27"/>
    </row>
    <row r="428" spans="1:25">
      <c r="A428" s="34"/>
      <c r="B428" s="24"/>
      <c r="C428" s="24"/>
      <c r="D428" s="24"/>
      <c r="E428" s="24"/>
      <c r="F428" s="25"/>
      <c r="G428" s="25"/>
      <c r="H428" s="25"/>
      <c r="I428" s="25"/>
      <c r="J428" s="24"/>
      <c r="K428" s="25"/>
      <c r="L428" s="25"/>
      <c r="M428" s="25"/>
      <c r="N428" s="25"/>
      <c r="O428" s="25"/>
      <c r="P428" s="25"/>
      <c r="Q428" s="25"/>
      <c r="R428" s="24"/>
      <c r="S428" s="26">
        <f t="shared" si="28"/>
        <v>0</v>
      </c>
      <c r="T428" s="26">
        <f>COUNTIF($V$4:V428,V428)</f>
        <v>385</v>
      </c>
      <c r="U428" s="26" t="str">
        <f>IF(T428=1,COUNTIF($T$4:T428,1),"")</f>
        <v/>
      </c>
      <c r="V428" s="27" t="str">
        <f t="shared" si="30"/>
        <v/>
      </c>
      <c r="W428" s="27">
        <f t="shared" si="29"/>
        <v>0</v>
      </c>
      <c r="X428" s="28"/>
      <c r="Y428" s="27"/>
    </row>
    <row r="429" spans="1:25">
      <c r="A429" s="34"/>
      <c r="B429" s="24"/>
      <c r="C429" s="24"/>
      <c r="D429" s="24"/>
      <c r="E429" s="24"/>
      <c r="F429" s="25"/>
      <c r="G429" s="25"/>
      <c r="H429" s="25"/>
      <c r="I429" s="25"/>
      <c r="J429" s="24"/>
      <c r="K429" s="25"/>
      <c r="L429" s="25"/>
      <c r="M429" s="25"/>
      <c r="N429" s="25"/>
      <c r="O429" s="25"/>
      <c r="P429" s="25"/>
      <c r="Q429" s="25"/>
      <c r="R429" s="24"/>
      <c r="S429" s="26">
        <f t="shared" si="28"/>
        <v>0</v>
      </c>
      <c r="T429" s="26">
        <f>COUNTIF($V$4:V429,V429)</f>
        <v>386</v>
      </c>
      <c r="U429" s="26" t="str">
        <f>IF(T429=1,COUNTIF($T$4:T429,1),"")</f>
        <v/>
      </c>
      <c r="V429" s="27" t="str">
        <f t="shared" si="30"/>
        <v/>
      </c>
      <c r="W429" s="27">
        <f t="shared" si="29"/>
        <v>0</v>
      </c>
      <c r="X429" s="28"/>
      <c r="Y429" s="27"/>
    </row>
    <row r="430" spans="1:25">
      <c r="A430" s="34"/>
      <c r="B430" s="24"/>
      <c r="C430" s="24"/>
      <c r="D430" s="24"/>
      <c r="E430" s="24"/>
      <c r="F430" s="25"/>
      <c r="G430" s="25"/>
      <c r="H430" s="25"/>
      <c r="I430" s="25"/>
      <c r="J430" s="24"/>
      <c r="K430" s="25"/>
      <c r="L430" s="25"/>
      <c r="M430" s="25"/>
      <c r="N430" s="25"/>
      <c r="O430" s="25"/>
      <c r="P430" s="25"/>
      <c r="Q430" s="25"/>
      <c r="R430" s="24"/>
      <c r="S430" s="26">
        <f t="shared" si="28"/>
        <v>0</v>
      </c>
      <c r="T430" s="26">
        <f>COUNTIF($V$4:V430,V430)</f>
        <v>387</v>
      </c>
      <c r="U430" s="26" t="str">
        <f>IF(T430=1,COUNTIF($T$4:T430,1),"")</f>
        <v/>
      </c>
      <c r="V430" s="27" t="str">
        <f t="shared" si="30"/>
        <v/>
      </c>
      <c r="W430" s="27">
        <f t="shared" si="29"/>
        <v>0</v>
      </c>
      <c r="X430" s="28"/>
      <c r="Y430" s="27"/>
    </row>
    <row r="431" spans="1:25">
      <c r="A431" s="34"/>
      <c r="B431" s="24"/>
      <c r="C431" s="24"/>
      <c r="D431" s="24"/>
      <c r="E431" s="24"/>
      <c r="F431" s="25"/>
      <c r="G431" s="25"/>
      <c r="H431" s="25"/>
      <c r="I431" s="25"/>
      <c r="J431" s="24"/>
      <c r="K431" s="25"/>
      <c r="L431" s="25"/>
      <c r="M431" s="25"/>
      <c r="N431" s="25"/>
      <c r="O431" s="25"/>
      <c r="P431" s="25"/>
      <c r="Q431" s="25"/>
      <c r="R431" s="24"/>
      <c r="S431" s="26">
        <f t="shared" si="28"/>
        <v>0</v>
      </c>
      <c r="T431" s="26">
        <f>COUNTIF($V$4:V431,V431)</f>
        <v>388</v>
      </c>
      <c r="U431" s="26" t="str">
        <f>IF(T431=1,COUNTIF($T$4:T431,1),"")</f>
        <v/>
      </c>
      <c r="V431" s="27" t="str">
        <f t="shared" si="30"/>
        <v/>
      </c>
      <c r="W431" s="27">
        <f t="shared" si="29"/>
        <v>0</v>
      </c>
      <c r="X431" s="28"/>
      <c r="Y431" s="27"/>
    </row>
    <row r="432" spans="1:25">
      <c r="A432" s="34"/>
      <c r="B432" s="24"/>
      <c r="C432" s="24"/>
      <c r="D432" s="24"/>
      <c r="E432" s="24"/>
      <c r="F432" s="25"/>
      <c r="G432" s="25"/>
      <c r="H432" s="25"/>
      <c r="I432" s="25"/>
      <c r="J432" s="24"/>
      <c r="K432" s="25"/>
      <c r="L432" s="25"/>
      <c r="M432" s="25"/>
      <c r="N432" s="25"/>
      <c r="O432" s="25"/>
      <c r="P432" s="25"/>
      <c r="Q432" s="25"/>
      <c r="R432" s="24"/>
      <c r="S432" s="26">
        <f t="shared" si="28"/>
        <v>0</v>
      </c>
      <c r="T432" s="26">
        <f>COUNTIF($V$4:V432,V432)</f>
        <v>389</v>
      </c>
      <c r="U432" s="26" t="str">
        <f>IF(T432=1,COUNTIF($T$4:T432,1),"")</f>
        <v/>
      </c>
      <c r="V432" s="27" t="str">
        <f t="shared" si="30"/>
        <v/>
      </c>
      <c r="W432" s="27">
        <f t="shared" si="29"/>
        <v>0</v>
      </c>
      <c r="X432" s="28"/>
      <c r="Y432" s="27"/>
    </row>
    <row r="433" spans="1:257">
      <c r="A433" s="34"/>
      <c r="B433" s="24"/>
      <c r="C433" s="24"/>
      <c r="D433" s="24"/>
      <c r="E433" s="24"/>
      <c r="F433" s="25"/>
      <c r="G433" s="25"/>
      <c r="H433" s="25"/>
      <c r="I433" s="25"/>
      <c r="J433" s="24"/>
      <c r="K433" s="25"/>
      <c r="L433" s="25"/>
      <c r="M433" s="25"/>
      <c r="N433" s="25"/>
      <c r="O433" s="25"/>
      <c r="P433" s="25"/>
      <c r="Q433" s="25"/>
      <c r="R433" s="24"/>
      <c r="S433" s="26">
        <f t="shared" si="28"/>
        <v>0</v>
      </c>
      <c r="T433" s="26">
        <f>COUNTIF($V$4:V433,V433)</f>
        <v>390</v>
      </c>
      <c r="U433" s="26" t="str">
        <f>IF(T433=1,COUNTIF($T$4:T433,1),"")</f>
        <v/>
      </c>
      <c r="V433" s="27" t="str">
        <f t="shared" si="30"/>
        <v/>
      </c>
      <c r="W433" s="27">
        <f t="shared" si="29"/>
        <v>0</v>
      </c>
      <c r="X433" s="28"/>
      <c r="Y433" s="27"/>
    </row>
    <row r="434" spans="1:257">
      <c r="A434" s="34"/>
      <c r="B434" s="24"/>
      <c r="C434" s="24"/>
      <c r="D434" s="24"/>
      <c r="E434" s="24"/>
      <c r="F434" s="25"/>
      <c r="G434" s="25"/>
      <c r="H434" s="25"/>
      <c r="I434" s="25"/>
      <c r="J434" s="24"/>
      <c r="K434" s="25"/>
      <c r="L434" s="25"/>
      <c r="M434" s="25"/>
      <c r="N434" s="25"/>
      <c r="O434" s="25"/>
      <c r="P434" s="25"/>
      <c r="Q434" s="25"/>
      <c r="R434" s="24"/>
      <c r="S434" s="26">
        <f t="shared" si="28"/>
        <v>0</v>
      </c>
      <c r="T434" s="26">
        <f>COUNTIF($V$4:V434,V434)</f>
        <v>391</v>
      </c>
      <c r="U434" s="26" t="str">
        <f>IF(T434=1,COUNTIF($T$4:T434,1),"")</f>
        <v/>
      </c>
      <c r="V434" s="27" t="str">
        <f t="shared" si="30"/>
        <v/>
      </c>
      <c r="W434" s="27">
        <f t="shared" si="29"/>
        <v>0</v>
      </c>
      <c r="X434" s="28"/>
      <c r="Y434" s="27"/>
    </row>
    <row r="435" spans="1:257">
      <c r="A435" s="34"/>
      <c r="B435" s="24"/>
      <c r="C435" s="24"/>
      <c r="D435" s="24"/>
      <c r="E435" s="24"/>
      <c r="F435" s="25"/>
      <c r="G435" s="25"/>
      <c r="H435" s="25"/>
      <c r="I435" s="25"/>
      <c r="J435" s="24"/>
      <c r="K435" s="25"/>
      <c r="L435" s="25"/>
      <c r="M435" s="25"/>
      <c r="N435" s="25"/>
      <c r="O435" s="25"/>
      <c r="P435" s="25"/>
      <c r="Q435" s="25"/>
      <c r="R435" s="24"/>
      <c r="S435" s="26">
        <f t="shared" si="28"/>
        <v>0</v>
      </c>
      <c r="T435" s="26">
        <f>COUNTIF($V$4:V435,V435)</f>
        <v>392</v>
      </c>
      <c r="U435" s="26" t="str">
        <f>IF(T435=1,COUNTIF($T$4:T435,1),"")</f>
        <v/>
      </c>
      <c r="V435" s="27" t="str">
        <f t="shared" si="30"/>
        <v/>
      </c>
      <c r="W435" s="27">
        <f t="shared" si="29"/>
        <v>0</v>
      </c>
      <c r="X435" s="28"/>
      <c r="Y435" s="27"/>
    </row>
    <row r="436" spans="1:257">
      <c r="A436" s="34"/>
      <c r="B436" s="24"/>
      <c r="C436" s="24"/>
      <c r="D436" s="24"/>
      <c r="E436" s="24"/>
      <c r="F436" s="25"/>
      <c r="G436" s="25"/>
      <c r="H436" s="25"/>
      <c r="I436" s="25"/>
      <c r="J436" s="24"/>
      <c r="K436" s="25"/>
      <c r="L436" s="25"/>
      <c r="M436" s="25"/>
      <c r="N436" s="25"/>
      <c r="O436" s="25"/>
      <c r="P436" s="25"/>
      <c r="Q436" s="25"/>
      <c r="R436" s="24"/>
      <c r="S436" s="26">
        <f t="shared" si="28"/>
        <v>0</v>
      </c>
      <c r="T436" s="26">
        <f>COUNTIF($V$4:V436,V436)</f>
        <v>393</v>
      </c>
      <c r="U436" s="26" t="str">
        <f>IF(T436=1,COUNTIF($T$4:T436,1),"")</f>
        <v/>
      </c>
      <c r="V436" s="27" t="str">
        <f t="shared" si="30"/>
        <v/>
      </c>
      <c r="W436" s="27">
        <f t="shared" si="29"/>
        <v>0</v>
      </c>
      <c r="X436" s="28"/>
      <c r="Y436" s="27"/>
    </row>
    <row r="437" spans="1:257">
      <c r="A437" s="34"/>
      <c r="B437" s="24"/>
      <c r="C437" s="24"/>
      <c r="D437" s="24"/>
      <c r="E437" s="24"/>
      <c r="F437" s="25"/>
      <c r="G437" s="25"/>
      <c r="H437" s="25"/>
      <c r="I437" s="25"/>
      <c r="J437" s="24"/>
      <c r="K437" s="25"/>
      <c r="L437" s="25"/>
      <c r="M437" s="25"/>
      <c r="N437" s="25"/>
      <c r="O437" s="25"/>
      <c r="P437" s="25"/>
      <c r="Q437" s="25"/>
      <c r="R437" s="24"/>
      <c r="S437" s="26">
        <f t="shared" si="28"/>
        <v>0</v>
      </c>
      <c r="T437" s="26">
        <f>COUNTIF($V$4:V437,V437)</f>
        <v>394</v>
      </c>
      <c r="U437" s="26" t="str">
        <f>IF(T437=1,COUNTIF($T$4:T437,1),"")</f>
        <v/>
      </c>
      <c r="V437" s="27" t="str">
        <f t="shared" si="30"/>
        <v/>
      </c>
      <c r="W437" s="27">
        <f t="shared" si="29"/>
        <v>0</v>
      </c>
      <c r="X437" s="28"/>
      <c r="Y437" s="27"/>
    </row>
    <row r="438" spans="1:257">
      <c r="A438" s="34"/>
      <c r="B438" s="24"/>
      <c r="C438" s="24"/>
      <c r="D438" s="24"/>
      <c r="E438" s="24"/>
      <c r="F438" s="25"/>
      <c r="G438" s="25"/>
      <c r="H438" s="25"/>
      <c r="I438" s="25"/>
      <c r="J438" s="24"/>
      <c r="K438" s="25"/>
      <c r="L438" s="25"/>
      <c r="M438" s="25"/>
      <c r="N438" s="25"/>
      <c r="O438" s="25"/>
      <c r="P438" s="25"/>
      <c r="Q438" s="25"/>
      <c r="R438" s="24"/>
      <c r="S438" s="26">
        <f t="shared" si="28"/>
        <v>0</v>
      </c>
      <c r="T438" s="26">
        <f>COUNTIF($V$4:V438,V438)</f>
        <v>395</v>
      </c>
      <c r="U438" s="26" t="str">
        <f>IF(T438=1,COUNTIF($T$4:T438,1),"")</f>
        <v/>
      </c>
      <c r="V438" s="27" t="str">
        <f t="shared" si="30"/>
        <v/>
      </c>
      <c r="W438" s="27">
        <f t="shared" si="29"/>
        <v>0</v>
      </c>
      <c r="X438" s="28"/>
      <c r="Y438" s="27"/>
    </row>
    <row r="439" spans="1:257">
      <c r="A439" s="34"/>
      <c r="B439" s="24"/>
      <c r="C439" s="24"/>
      <c r="D439" s="24"/>
      <c r="E439" s="24"/>
      <c r="F439" s="25"/>
      <c r="G439" s="25"/>
      <c r="H439" s="25"/>
      <c r="I439" s="25"/>
      <c r="J439" s="24"/>
      <c r="K439" s="25"/>
      <c r="L439" s="25"/>
      <c r="M439" s="25"/>
      <c r="N439" s="25"/>
      <c r="O439" s="25"/>
      <c r="P439" s="25"/>
      <c r="Q439" s="25"/>
      <c r="R439" s="24"/>
      <c r="S439" s="26">
        <f t="shared" si="28"/>
        <v>0</v>
      </c>
      <c r="T439" s="26">
        <f>COUNTIF($V$4:V439,V439)</f>
        <v>396</v>
      </c>
      <c r="U439" s="26" t="str">
        <f>IF(T439=1,COUNTIF($T$4:T439,1),"")</f>
        <v/>
      </c>
      <c r="V439" s="27" t="str">
        <f t="shared" si="30"/>
        <v/>
      </c>
      <c r="W439" s="27">
        <f t="shared" si="29"/>
        <v>0</v>
      </c>
      <c r="X439" s="28"/>
      <c r="Y439" s="27"/>
    </row>
    <row r="440" spans="1:257">
      <c r="A440" s="34"/>
      <c r="B440" s="24"/>
      <c r="C440" s="24"/>
      <c r="D440" s="24"/>
      <c r="E440" s="24"/>
      <c r="F440" s="25"/>
      <c r="G440" s="25"/>
      <c r="H440" s="25"/>
      <c r="I440" s="25"/>
      <c r="J440" s="24"/>
      <c r="K440" s="25"/>
      <c r="L440" s="25"/>
      <c r="M440" s="25"/>
      <c r="N440" s="25"/>
      <c r="O440" s="25"/>
      <c r="P440" s="25"/>
      <c r="Q440" s="25"/>
      <c r="R440" s="24"/>
      <c r="S440" s="26">
        <f t="shared" si="28"/>
        <v>0</v>
      </c>
      <c r="T440" s="26">
        <f>COUNTIF($V$4:V440,V440)</f>
        <v>397</v>
      </c>
      <c r="U440" s="26" t="str">
        <f>IF(T440=1,COUNTIF($T$4:T440,1),"")</f>
        <v/>
      </c>
      <c r="V440" s="27" t="str">
        <f t="shared" si="30"/>
        <v/>
      </c>
      <c r="W440" s="27">
        <f t="shared" si="29"/>
        <v>0</v>
      </c>
      <c r="X440" s="28"/>
      <c r="Y440" s="27"/>
    </row>
    <row r="441" spans="1:257">
      <c r="A441" s="34"/>
      <c r="B441" s="24"/>
      <c r="C441" s="24"/>
      <c r="D441" s="24"/>
      <c r="E441" s="24"/>
      <c r="F441" s="25"/>
      <c r="G441" s="25"/>
      <c r="H441" s="25"/>
      <c r="I441" s="25"/>
      <c r="J441" s="24"/>
      <c r="K441" s="25"/>
      <c r="L441" s="25"/>
      <c r="M441" s="25"/>
      <c r="N441" s="25"/>
      <c r="O441" s="25"/>
      <c r="P441" s="25"/>
      <c r="Q441" s="25"/>
      <c r="R441" s="24"/>
      <c r="S441" s="26">
        <f t="shared" si="28"/>
        <v>0</v>
      </c>
      <c r="T441" s="26">
        <f>COUNTIF($V$4:V441,V441)</f>
        <v>398</v>
      </c>
      <c r="U441" s="26" t="str">
        <f>IF(T441=1,COUNTIF($T$4:T441,1),"")</f>
        <v/>
      </c>
      <c r="V441" s="27" t="str">
        <f t="shared" si="30"/>
        <v/>
      </c>
      <c r="W441" s="27">
        <f t="shared" si="29"/>
        <v>0</v>
      </c>
      <c r="X441" s="28"/>
      <c r="Y441" s="27"/>
    </row>
    <row r="442" spans="1:257">
      <c r="A442" s="34"/>
      <c r="B442" s="24"/>
      <c r="C442" s="24"/>
      <c r="D442" s="24"/>
      <c r="E442" s="24"/>
      <c r="F442" s="25"/>
      <c r="G442" s="25"/>
      <c r="H442" s="25"/>
      <c r="I442" s="25"/>
      <c r="J442" s="24"/>
      <c r="K442" s="25"/>
      <c r="L442" s="25"/>
      <c r="M442" s="25"/>
      <c r="N442" s="25"/>
      <c r="O442" s="25"/>
      <c r="P442" s="25"/>
      <c r="Q442" s="25"/>
      <c r="R442" s="24"/>
      <c r="S442" s="26">
        <f t="shared" si="28"/>
        <v>0</v>
      </c>
      <c r="T442" s="26">
        <f>COUNTIF($V$4:V442,V442)</f>
        <v>399</v>
      </c>
      <c r="U442" s="26" t="str">
        <f>IF(T442=1,COUNTIF($T$4:T442,1),"")</f>
        <v/>
      </c>
      <c r="V442" s="27" t="str">
        <f t="shared" si="30"/>
        <v/>
      </c>
      <c r="W442" s="27">
        <f t="shared" si="29"/>
        <v>0</v>
      </c>
      <c r="X442" s="28"/>
      <c r="Y442" s="27"/>
    </row>
    <row r="443" spans="1:257">
      <c r="A443" s="34"/>
      <c r="B443" s="24"/>
      <c r="C443" s="24"/>
      <c r="D443" s="24"/>
      <c r="E443" s="24"/>
      <c r="F443" s="25"/>
      <c r="G443" s="25"/>
      <c r="H443" s="25"/>
      <c r="I443" s="25"/>
      <c r="J443" s="24"/>
      <c r="K443" s="25"/>
      <c r="L443" s="25"/>
      <c r="M443" s="25"/>
      <c r="N443" s="25"/>
      <c r="O443" s="25"/>
      <c r="P443" s="25"/>
      <c r="Q443" s="25"/>
      <c r="R443" s="24"/>
      <c r="S443" s="26">
        <f t="shared" si="28"/>
        <v>0</v>
      </c>
      <c r="T443" s="26">
        <f>COUNTIF($V$4:V443,V443)</f>
        <v>400</v>
      </c>
      <c r="U443" s="26" t="str">
        <f>IF(T443=1,COUNTIF($T$4:T443,1),"")</f>
        <v/>
      </c>
      <c r="V443" s="27" t="str">
        <f t="shared" si="30"/>
        <v/>
      </c>
      <c r="W443" s="27">
        <f t="shared" si="29"/>
        <v>0</v>
      </c>
      <c r="X443" s="28"/>
      <c r="Y443" s="27"/>
    </row>
    <row r="444" spans="1:257">
      <c r="A444" s="34"/>
      <c r="B444" s="24"/>
      <c r="C444" s="24"/>
      <c r="D444" s="24"/>
      <c r="E444" s="24"/>
      <c r="F444" s="25"/>
      <c r="G444" s="25"/>
      <c r="H444" s="25"/>
      <c r="I444" s="25"/>
      <c r="J444" s="24"/>
      <c r="K444" s="25"/>
      <c r="L444" s="25"/>
      <c r="M444" s="25"/>
      <c r="N444" s="25"/>
      <c r="O444" s="25"/>
      <c r="P444" s="25"/>
      <c r="Q444" s="25"/>
      <c r="R444" s="24"/>
      <c r="S444" s="26">
        <f t="shared" si="28"/>
        <v>0</v>
      </c>
      <c r="T444" s="26">
        <f>COUNTIF($V$4:V444,V444)</f>
        <v>401</v>
      </c>
      <c r="U444" s="26" t="str">
        <f>IF(T444=1,COUNTIF($T$4:T444,1),"")</f>
        <v/>
      </c>
      <c r="V444" s="27" t="str">
        <f t="shared" si="30"/>
        <v/>
      </c>
      <c r="W444" s="27">
        <f t="shared" si="29"/>
        <v>0</v>
      </c>
      <c r="X444" s="28"/>
      <c r="Y444" s="27"/>
    </row>
    <row r="445" spans="1:257">
      <c r="A445" s="34"/>
      <c r="B445" s="24"/>
      <c r="C445" s="24"/>
      <c r="D445" s="24"/>
      <c r="E445" s="24"/>
      <c r="F445" s="25"/>
      <c r="G445" s="25"/>
      <c r="H445" s="25"/>
      <c r="I445" s="25"/>
      <c r="J445" s="24"/>
      <c r="K445" s="25"/>
      <c r="L445" s="25"/>
      <c r="M445" s="25"/>
      <c r="N445" s="25"/>
      <c r="O445" s="25"/>
      <c r="P445" s="25"/>
      <c r="Q445" s="25"/>
      <c r="R445" s="24"/>
      <c r="S445" s="26">
        <f t="shared" si="28"/>
        <v>0</v>
      </c>
      <c r="T445" s="26">
        <f>COUNTIF($V$4:V445,V445)</f>
        <v>402</v>
      </c>
      <c r="U445" s="26" t="str">
        <f>IF(T445=1,COUNTIF($T$4:T445,1),"")</f>
        <v/>
      </c>
      <c r="V445" s="27" t="str">
        <f t="shared" si="30"/>
        <v/>
      </c>
      <c r="W445" s="27">
        <f t="shared" si="29"/>
        <v>0</v>
      </c>
      <c r="X445" s="28"/>
      <c r="Y445" s="27"/>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c r="EW445" s="10"/>
      <c r="EX445" s="10"/>
      <c r="EY445" s="10"/>
      <c r="EZ445" s="10"/>
      <c r="FA445" s="10"/>
      <c r="FB445" s="10"/>
      <c r="FC445" s="10"/>
      <c r="FD445" s="10"/>
      <c r="FE445" s="10"/>
      <c r="FF445" s="10"/>
      <c r="FG445" s="10"/>
      <c r="FH445" s="10"/>
      <c r="FI445" s="10"/>
      <c r="FJ445" s="10"/>
      <c r="FK445" s="10"/>
      <c r="FL445" s="10"/>
      <c r="FM445" s="10"/>
      <c r="FN445" s="10"/>
      <c r="FO445" s="10"/>
      <c r="FP445" s="10"/>
      <c r="FQ445" s="10"/>
      <c r="FR445" s="10"/>
      <c r="FS445" s="10"/>
      <c r="FT445" s="10"/>
      <c r="FU445" s="10"/>
      <c r="FV445" s="10"/>
      <c r="FW445" s="10"/>
      <c r="FX445" s="10"/>
      <c r="FY445" s="10"/>
      <c r="FZ445" s="10"/>
      <c r="GA445" s="10"/>
      <c r="GB445" s="10"/>
      <c r="GC445" s="10"/>
      <c r="GD445" s="10"/>
      <c r="GE445" s="10"/>
      <c r="GF445" s="10"/>
      <c r="GG445" s="10"/>
      <c r="GH445" s="10"/>
      <c r="GI445" s="10"/>
      <c r="GJ445" s="10"/>
      <c r="GK445" s="10"/>
      <c r="GL445" s="10"/>
      <c r="GM445" s="10"/>
      <c r="GN445" s="10"/>
      <c r="GO445" s="10"/>
      <c r="GP445" s="10"/>
      <c r="GQ445" s="10"/>
      <c r="GR445" s="10"/>
      <c r="GS445" s="10"/>
      <c r="GT445" s="10"/>
      <c r="GU445" s="10"/>
      <c r="GV445" s="10"/>
      <c r="GW445" s="10"/>
      <c r="GX445" s="10"/>
      <c r="GY445" s="10"/>
      <c r="GZ445" s="10"/>
      <c r="HA445" s="10"/>
      <c r="HB445" s="10"/>
      <c r="HC445" s="10"/>
      <c r="HD445" s="10"/>
      <c r="HE445" s="10"/>
      <c r="HF445" s="10"/>
      <c r="HG445" s="10"/>
      <c r="HH445" s="10"/>
      <c r="HI445" s="10"/>
      <c r="HJ445" s="10"/>
      <c r="HK445" s="10"/>
      <c r="HL445" s="10"/>
      <c r="HM445" s="10"/>
      <c r="HN445" s="10"/>
      <c r="HO445" s="10"/>
      <c r="HP445" s="10"/>
      <c r="HQ445" s="10"/>
      <c r="HR445" s="10"/>
      <c r="HS445" s="10"/>
      <c r="HT445" s="10"/>
      <c r="HU445" s="10"/>
      <c r="HV445" s="10"/>
      <c r="HW445" s="10"/>
      <c r="HX445" s="10"/>
      <c r="HY445" s="10"/>
      <c r="HZ445" s="10"/>
      <c r="IA445" s="10"/>
      <c r="IB445" s="10"/>
      <c r="IC445" s="10"/>
      <c r="ID445" s="10"/>
      <c r="IE445" s="10"/>
      <c r="IF445" s="10"/>
      <c r="IG445" s="10"/>
      <c r="IH445" s="10"/>
      <c r="II445" s="10"/>
      <c r="IJ445" s="10"/>
      <c r="IK445" s="10"/>
      <c r="IL445" s="10"/>
      <c r="IM445" s="10"/>
      <c r="IN445" s="10"/>
      <c r="IO445" s="10"/>
      <c r="IP445" s="10"/>
      <c r="IQ445" s="10"/>
      <c r="IR445" s="10"/>
      <c r="IS445" s="10"/>
      <c r="IT445" s="10"/>
      <c r="IU445" s="10"/>
      <c r="IV445" s="10"/>
      <c r="IW445" s="10"/>
    </row>
    <row r="446" spans="1:257">
      <c r="A446" s="34"/>
      <c r="B446" s="50"/>
      <c r="C446" s="24"/>
      <c r="D446" s="24"/>
      <c r="E446" s="24"/>
      <c r="F446" s="25"/>
      <c r="G446" s="25"/>
      <c r="H446" s="25"/>
      <c r="I446" s="25"/>
      <c r="J446" s="24"/>
      <c r="K446" s="25"/>
      <c r="L446" s="25"/>
      <c r="M446" s="25"/>
      <c r="N446" s="25"/>
      <c r="O446" s="25"/>
      <c r="P446" s="25"/>
      <c r="Q446" s="25"/>
      <c r="R446" s="24"/>
      <c r="S446" s="26">
        <f t="shared" si="28"/>
        <v>0</v>
      </c>
      <c r="T446" s="26">
        <f>COUNTIF($V$4:V446,V446)</f>
        <v>403</v>
      </c>
      <c r="U446" s="26" t="str">
        <f>IF(T446=1,COUNTIF($T$4:T446,1),"")</f>
        <v/>
      </c>
      <c r="V446" s="27" t="str">
        <f t="shared" si="30"/>
        <v/>
      </c>
      <c r="W446" s="27">
        <f t="shared" si="29"/>
        <v>0</v>
      </c>
      <c r="X446" s="28"/>
      <c r="Y446" s="27"/>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c r="EW446" s="10"/>
      <c r="EX446" s="10"/>
      <c r="EY446" s="10"/>
      <c r="EZ446" s="10"/>
      <c r="FA446" s="10"/>
      <c r="FB446" s="10"/>
      <c r="FC446" s="10"/>
      <c r="FD446" s="10"/>
      <c r="FE446" s="10"/>
      <c r="FF446" s="10"/>
      <c r="FG446" s="10"/>
      <c r="FH446" s="10"/>
      <c r="FI446" s="10"/>
      <c r="FJ446" s="10"/>
      <c r="FK446" s="10"/>
      <c r="FL446" s="10"/>
      <c r="FM446" s="10"/>
      <c r="FN446" s="10"/>
      <c r="FO446" s="10"/>
      <c r="FP446" s="10"/>
      <c r="FQ446" s="10"/>
      <c r="FR446" s="10"/>
      <c r="FS446" s="10"/>
      <c r="FT446" s="10"/>
      <c r="FU446" s="10"/>
      <c r="FV446" s="10"/>
      <c r="FW446" s="10"/>
      <c r="FX446" s="10"/>
      <c r="FY446" s="10"/>
      <c r="FZ446" s="10"/>
      <c r="GA446" s="10"/>
      <c r="GB446" s="10"/>
      <c r="GC446" s="10"/>
      <c r="GD446" s="10"/>
      <c r="GE446" s="10"/>
      <c r="GF446" s="10"/>
      <c r="GG446" s="10"/>
      <c r="GH446" s="10"/>
      <c r="GI446" s="10"/>
      <c r="GJ446" s="10"/>
      <c r="GK446" s="10"/>
      <c r="GL446" s="10"/>
      <c r="GM446" s="10"/>
      <c r="GN446" s="10"/>
      <c r="GO446" s="10"/>
      <c r="GP446" s="10"/>
      <c r="GQ446" s="10"/>
      <c r="GR446" s="10"/>
      <c r="GS446" s="10"/>
      <c r="GT446" s="10"/>
      <c r="GU446" s="10"/>
      <c r="GV446" s="10"/>
      <c r="GW446" s="10"/>
      <c r="GX446" s="10"/>
      <c r="GY446" s="10"/>
      <c r="GZ446" s="10"/>
      <c r="HA446" s="10"/>
      <c r="HB446" s="10"/>
      <c r="HC446" s="10"/>
      <c r="HD446" s="10"/>
      <c r="HE446" s="10"/>
      <c r="HF446" s="10"/>
      <c r="HG446" s="10"/>
      <c r="HH446" s="10"/>
      <c r="HI446" s="10"/>
      <c r="HJ446" s="10"/>
      <c r="HK446" s="10"/>
      <c r="HL446" s="10"/>
      <c r="HM446" s="10"/>
      <c r="HN446" s="10"/>
      <c r="HO446" s="10"/>
      <c r="HP446" s="10"/>
      <c r="HQ446" s="10"/>
      <c r="HR446" s="10"/>
      <c r="HS446" s="10"/>
      <c r="HT446" s="10"/>
      <c r="HU446" s="10"/>
      <c r="HV446" s="10"/>
      <c r="HW446" s="10"/>
      <c r="HX446" s="10"/>
      <c r="HY446" s="10"/>
      <c r="HZ446" s="10"/>
      <c r="IA446" s="10"/>
      <c r="IB446" s="10"/>
      <c r="IC446" s="10"/>
      <c r="ID446" s="10"/>
      <c r="IE446" s="10"/>
      <c r="IF446" s="10"/>
      <c r="IG446" s="10"/>
      <c r="IH446" s="10"/>
      <c r="II446" s="10"/>
      <c r="IJ446" s="10"/>
      <c r="IK446" s="10"/>
      <c r="IL446" s="10"/>
      <c r="IM446" s="10"/>
      <c r="IN446" s="10"/>
      <c r="IO446" s="10"/>
      <c r="IP446" s="10"/>
      <c r="IQ446" s="10"/>
      <c r="IR446" s="10"/>
      <c r="IS446" s="10"/>
      <c r="IT446" s="10"/>
      <c r="IU446" s="10"/>
      <c r="IV446" s="10"/>
      <c r="IW446" s="10"/>
    </row>
    <row r="447" spans="1:257">
      <c r="A447" s="34"/>
      <c r="B447" s="50"/>
      <c r="C447" s="24"/>
      <c r="D447" s="24"/>
      <c r="E447" s="24"/>
      <c r="F447" s="25"/>
      <c r="G447" s="25"/>
      <c r="H447" s="25"/>
      <c r="I447" s="25"/>
      <c r="J447" s="24"/>
      <c r="K447" s="25"/>
      <c r="L447" s="25"/>
      <c r="M447" s="25"/>
      <c r="N447" s="25"/>
      <c r="O447" s="25"/>
      <c r="P447" s="25"/>
      <c r="Q447" s="25"/>
      <c r="R447" s="24"/>
      <c r="S447" s="26">
        <f t="shared" si="28"/>
        <v>0</v>
      </c>
      <c r="T447" s="26">
        <f>COUNTIF($V$4:V447,V447)</f>
        <v>404</v>
      </c>
      <c r="U447" s="26" t="str">
        <f>IF(T447=1,COUNTIF($T$4:T447,1),"")</f>
        <v/>
      </c>
      <c r="V447" s="27" t="str">
        <f t="shared" si="30"/>
        <v/>
      </c>
      <c r="W447" s="27">
        <f t="shared" si="29"/>
        <v>0</v>
      </c>
      <c r="X447" s="28"/>
      <c r="Y447" s="27"/>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c r="EW447" s="10"/>
      <c r="EX447" s="10"/>
      <c r="EY447" s="10"/>
      <c r="EZ447" s="10"/>
      <c r="FA447" s="10"/>
      <c r="FB447" s="10"/>
      <c r="FC447" s="10"/>
      <c r="FD447" s="10"/>
      <c r="FE447" s="10"/>
      <c r="FF447" s="10"/>
      <c r="FG447" s="10"/>
      <c r="FH447" s="10"/>
      <c r="FI447" s="10"/>
      <c r="FJ447" s="10"/>
      <c r="FK447" s="10"/>
      <c r="FL447" s="10"/>
      <c r="FM447" s="10"/>
      <c r="FN447" s="10"/>
      <c r="FO447" s="10"/>
      <c r="FP447" s="10"/>
      <c r="FQ447" s="10"/>
      <c r="FR447" s="10"/>
      <c r="FS447" s="10"/>
      <c r="FT447" s="10"/>
      <c r="FU447" s="10"/>
      <c r="FV447" s="10"/>
      <c r="FW447" s="10"/>
      <c r="FX447" s="10"/>
      <c r="FY447" s="10"/>
      <c r="FZ447" s="10"/>
      <c r="GA447" s="10"/>
      <c r="GB447" s="10"/>
      <c r="GC447" s="10"/>
      <c r="GD447" s="10"/>
      <c r="GE447" s="10"/>
      <c r="GF447" s="10"/>
      <c r="GG447" s="10"/>
      <c r="GH447" s="10"/>
      <c r="GI447" s="10"/>
      <c r="GJ447" s="10"/>
      <c r="GK447" s="10"/>
      <c r="GL447" s="10"/>
      <c r="GM447" s="10"/>
      <c r="GN447" s="10"/>
      <c r="GO447" s="10"/>
      <c r="GP447" s="10"/>
      <c r="GQ447" s="10"/>
      <c r="GR447" s="10"/>
      <c r="GS447" s="10"/>
      <c r="GT447" s="10"/>
      <c r="GU447" s="10"/>
      <c r="GV447" s="10"/>
      <c r="GW447" s="10"/>
      <c r="GX447" s="10"/>
      <c r="GY447" s="10"/>
      <c r="GZ447" s="10"/>
      <c r="HA447" s="10"/>
      <c r="HB447" s="10"/>
      <c r="HC447" s="10"/>
      <c r="HD447" s="10"/>
      <c r="HE447" s="10"/>
      <c r="HF447" s="10"/>
      <c r="HG447" s="10"/>
      <c r="HH447" s="10"/>
      <c r="HI447" s="10"/>
      <c r="HJ447" s="10"/>
      <c r="HK447" s="10"/>
      <c r="HL447" s="10"/>
      <c r="HM447" s="10"/>
      <c r="HN447" s="10"/>
      <c r="HO447" s="10"/>
      <c r="HP447" s="10"/>
      <c r="HQ447" s="10"/>
      <c r="HR447" s="10"/>
      <c r="HS447" s="10"/>
      <c r="HT447" s="10"/>
      <c r="HU447" s="10"/>
      <c r="HV447" s="10"/>
      <c r="HW447" s="10"/>
      <c r="HX447" s="10"/>
      <c r="HY447" s="10"/>
      <c r="HZ447" s="10"/>
      <c r="IA447" s="10"/>
      <c r="IB447" s="10"/>
      <c r="IC447" s="10"/>
      <c r="ID447" s="10"/>
      <c r="IE447" s="10"/>
      <c r="IF447" s="10"/>
      <c r="IG447" s="10"/>
      <c r="IH447" s="10"/>
      <c r="II447" s="10"/>
      <c r="IJ447" s="10"/>
      <c r="IK447" s="10"/>
      <c r="IL447" s="10"/>
      <c r="IM447" s="10"/>
      <c r="IN447" s="10"/>
      <c r="IO447" s="10"/>
      <c r="IP447" s="10"/>
      <c r="IQ447" s="10"/>
      <c r="IR447" s="10"/>
      <c r="IS447" s="10"/>
      <c r="IT447" s="10"/>
      <c r="IU447" s="10"/>
      <c r="IV447" s="10"/>
      <c r="IW447" s="10"/>
    </row>
    <row r="448" spans="1:257">
      <c r="A448" s="34"/>
      <c r="B448" s="50"/>
      <c r="C448" s="24"/>
      <c r="D448" s="24"/>
      <c r="E448" s="24"/>
      <c r="F448" s="25"/>
      <c r="G448" s="25"/>
      <c r="H448" s="25"/>
      <c r="I448" s="25"/>
      <c r="J448" s="24"/>
      <c r="K448" s="25"/>
      <c r="L448" s="25"/>
      <c r="M448" s="25"/>
      <c r="N448" s="25"/>
      <c r="O448" s="25"/>
      <c r="P448" s="25"/>
      <c r="Q448" s="25"/>
      <c r="R448" s="24"/>
      <c r="S448" s="26">
        <f t="shared" si="28"/>
        <v>0</v>
      </c>
      <c r="T448" s="26">
        <f>COUNTIF($V$4:V448,V448)</f>
        <v>405</v>
      </c>
      <c r="U448" s="26" t="str">
        <f>IF(T448=1,COUNTIF($T$4:T448,1),"")</f>
        <v/>
      </c>
      <c r="V448" s="27" t="str">
        <f t="shared" si="30"/>
        <v/>
      </c>
      <c r="W448" s="27">
        <f t="shared" si="29"/>
        <v>0</v>
      </c>
      <c r="X448" s="28"/>
      <c r="Y448" s="27"/>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c r="EX448" s="10"/>
      <c r="EY448" s="10"/>
      <c r="EZ448" s="10"/>
      <c r="FA448" s="10"/>
      <c r="FB448" s="10"/>
      <c r="FC448" s="10"/>
      <c r="FD448" s="10"/>
      <c r="FE448" s="10"/>
      <c r="FF448" s="10"/>
      <c r="FG448" s="10"/>
      <c r="FH448" s="10"/>
      <c r="FI448" s="10"/>
      <c r="FJ448" s="10"/>
      <c r="FK448" s="10"/>
      <c r="FL448" s="10"/>
      <c r="FM448" s="10"/>
      <c r="FN448" s="10"/>
      <c r="FO448" s="10"/>
      <c r="FP448" s="10"/>
      <c r="FQ448" s="10"/>
      <c r="FR448" s="10"/>
      <c r="FS448" s="10"/>
      <c r="FT448" s="10"/>
      <c r="FU448" s="10"/>
      <c r="FV448" s="10"/>
      <c r="FW448" s="10"/>
      <c r="FX448" s="10"/>
      <c r="FY448" s="10"/>
      <c r="FZ448" s="10"/>
      <c r="GA448" s="10"/>
      <c r="GB448" s="10"/>
      <c r="GC448" s="10"/>
      <c r="GD448" s="10"/>
      <c r="GE448" s="10"/>
      <c r="GF448" s="10"/>
      <c r="GG448" s="10"/>
      <c r="GH448" s="10"/>
      <c r="GI448" s="10"/>
      <c r="GJ448" s="10"/>
      <c r="GK448" s="10"/>
      <c r="GL448" s="10"/>
      <c r="GM448" s="10"/>
      <c r="GN448" s="10"/>
      <c r="GO448" s="10"/>
      <c r="GP448" s="10"/>
      <c r="GQ448" s="10"/>
      <c r="GR448" s="10"/>
      <c r="GS448" s="10"/>
      <c r="GT448" s="10"/>
      <c r="GU448" s="10"/>
      <c r="GV448" s="10"/>
      <c r="GW448" s="10"/>
      <c r="GX448" s="10"/>
      <c r="GY448" s="10"/>
      <c r="GZ448" s="10"/>
      <c r="HA448" s="10"/>
      <c r="HB448" s="10"/>
      <c r="HC448" s="10"/>
      <c r="HD448" s="10"/>
      <c r="HE448" s="10"/>
      <c r="HF448" s="10"/>
      <c r="HG448" s="10"/>
      <c r="HH448" s="10"/>
      <c r="HI448" s="10"/>
      <c r="HJ448" s="10"/>
      <c r="HK448" s="10"/>
      <c r="HL448" s="10"/>
      <c r="HM448" s="10"/>
      <c r="HN448" s="10"/>
      <c r="HO448" s="10"/>
      <c r="HP448" s="10"/>
      <c r="HQ448" s="10"/>
      <c r="HR448" s="10"/>
      <c r="HS448" s="10"/>
      <c r="HT448" s="10"/>
      <c r="HU448" s="10"/>
      <c r="HV448" s="10"/>
      <c r="HW448" s="10"/>
      <c r="HX448" s="10"/>
      <c r="HY448" s="10"/>
      <c r="HZ448" s="10"/>
      <c r="IA448" s="10"/>
      <c r="IB448" s="10"/>
      <c r="IC448" s="10"/>
      <c r="ID448" s="10"/>
      <c r="IE448" s="10"/>
      <c r="IF448" s="10"/>
      <c r="IG448" s="10"/>
      <c r="IH448" s="10"/>
      <c r="II448" s="10"/>
      <c r="IJ448" s="10"/>
      <c r="IK448" s="10"/>
      <c r="IL448" s="10"/>
      <c r="IM448" s="10"/>
      <c r="IN448" s="10"/>
      <c r="IO448" s="10"/>
      <c r="IP448" s="10"/>
      <c r="IQ448" s="10"/>
      <c r="IR448" s="10"/>
      <c r="IS448" s="10"/>
      <c r="IT448" s="10"/>
      <c r="IU448" s="10"/>
      <c r="IV448" s="10"/>
      <c r="IW448" s="10"/>
    </row>
    <row r="449" spans="1:257">
      <c r="A449" s="34"/>
      <c r="B449" s="50"/>
      <c r="C449" s="24"/>
      <c r="D449" s="24"/>
      <c r="E449" s="24"/>
      <c r="F449" s="25"/>
      <c r="G449" s="25"/>
      <c r="H449" s="25"/>
      <c r="I449" s="25"/>
      <c r="J449" s="24"/>
      <c r="K449" s="25"/>
      <c r="L449" s="25"/>
      <c r="M449" s="25"/>
      <c r="N449" s="25"/>
      <c r="O449" s="25"/>
      <c r="P449" s="25"/>
      <c r="Q449" s="25"/>
      <c r="R449" s="24"/>
      <c r="S449" s="26">
        <f t="shared" si="28"/>
        <v>0</v>
      </c>
      <c r="T449" s="26">
        <f>COUNTIF($V$4:V449,V449)</f>
        <v>406</v>
      </c>
      <c r="U449" s="26" t="str">
        <f>IF(T449=1,COUNTIF($T$4:T449,1),"")</f>
        <v/>
      </c>
      <c r="V449" s="27" t="str">
        <f t="shared" si="30"/>
        <v/>
      </c>
      <c r="W449" s="27">
        <f t="shared" si="29"/>
        <v>0</v>
      </c>
      <c r="X449" s="28"/>
      <c r="Y449" s="27"/>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c r="EW449" s="10"/>
      <c r="EX449" s="10"/>
      <c r="EY449" s="10"/>
      <c r="EZ449" s="10"/>
      <c r="FA449" s="10"/>
      <c r="FB449" s="10"/>
      <c r="FC449" s="10"/>
      <c r="FD449" s="10"/>
      <c r="FE449" s="10"/>
      <c r="FF449" s="10"/>
      <c r="FG449" s="10"/>
      <c r="FH449" s="10"/>
      <c r="FI449" s="10"/>
      <c r="FJ449" s="10"/>
      <c r="FK449" s="10"/>
      <c r="FL449" s="10"/>
      <c r="FM449" s="10"/>
      <c r="FN449" s="10"/>
      <c r="FO449" s="10"/>
      <c r="FP449" s="10"/>
      <c r="FQ449" s="10"/>
      <c r="FR449" s="10"/>
      <c r="FS449" s="10"/>
      <c r="FT449" s="10"/>
      <c r="FU449" s="10"/>
      <c r="FV449" s="10"/>
      <c r="FW449" s="10"/>
      <c r="FX449" s="10"/>
      <c r="FY449" s="10"/>
      <c r="FZ449" s="10"/>
      <c r="GA449" s="10"/>
      <c r="GB449" s="10"/>
      <c r="GC449" s="10"/>
      <c r="GD449" s="10"/>
      <c r="GE449" s="10"/>
      <c r="GF449" s="10"/>
      <c r="GG449" s="10"/>
      <c r="GH449" s="10"/>
      <c r="GI449" s="10"/>
      <c r="GJ449" s="10"/>
      <c r="GK449" s="10"/>
      <c r="GL449" s="10"/>
      <c r="GM449" s="10"/>
      <c r="GN449" s="10"/>
      <c r="GO449" s="10"/>
      <c r="GP449" s="10"/>
      <c r="GQ449" s="10"/>
      <c r="GR449" s="10"/>
      <c r="GS449" s="10"/>
      <c r="GT449" s="10"/>
      <c r="GU449" s="10"/>
      <c r="GV449" s="10"/>
      <c r="GW449" s="10"/>
      <c r="GX449" s="10"/>
      <c r="GY449" s="10"/>
      <c r="GZ449" s="10"/>
      <c r="HA449" s="10"/>
      <c r="HB449" s="10"/>
      <c r="HC449" s="10"/>
      <c r="HD449" s="10"/>
      <c r="HE449" s="10"/>
      <c r="HF449" s="10"/>
      <c r="HG449" s="10"/>
      <c r="HH449" s="10"/>
      <c r="HI449" s="10"/>
      <c r="HJ449" s="10"/>
      <c r="HK449" s="10"/>
      <c r="HL449" s="10"/>
      <c r="HM449" s="10"/>
      <c r="HN449" s="10"/>
      <c r="HO449" s="10"/>
      <c r="HP449" s="10"/>
      <c r="HQ449" s="10"/>
      <c r="HR449" s="10"/>
      <c r="HS449" s="10"/>
      <c r="HT449" s="10"/>
      <c r="HU449" s="10"/>
      <c r="HV449" s="10"/>
      <c r="HW449" s="10"/>
      <c r="HX449" s="10"/>
      <c r="HY449" s="10"/>
      <c r="HZ449" s="10"/>
      <c r="IA449" s="10"/>
      <c r="IB449" s="10"/>
      <c r="IC449" s="10"/>
      <c r="ID449" s="10"/>
      <c r="IE449" s="10"/>
      <c r="IF449" s="10"/>
      <c r="IG449" s="10"/>
      <c r="IH449" s="10"/>
      <c r="II449" s="10"/>
      <c r="IJ449" s="10"/>
      <c r="IK449" s="10"/>
      <c r="IL449" s="10"/>
      <c r="IM449" s="10"/>
      <c r="IN449" s="10"/>
      <c r="IO449" s="10"/>
      <c r="IP449" s="10"/>
      <c r="IQ449" s="10"/>
      <c r="IR449" s="10"/>
      <c r="IS449" s="10"/>
      <c r="IT449" s="10"/>
      <c r="IU449" s="10"/>
      <c r="IV449" s="10"/>
      <c r="IW449" s="10"/>
    </row>
    <row r="450" spans="1:257">
      <c r="A450" s="34"/>
      <c r="B450" s="50"/>
      <c r="C450" s="24"/>
      <c r="D450" s="24"/>
      <c r="E450" s="24"/>
      <c r="F450" s="25"/>
      <c r="G450" s="25"/>
      <c r="H450" s="25"/>
      <c r="I450" s="25"/>
      <c r="J450" s="24"/>
      <c r="K450" s="25"/>
      <c r="L450" s="25"/>
      <c r="M450" s="25"/>
      <c r="N450" s="25"/>
      <c r="O450" s="25"/>
      <c r="P450" s="25"/>
      <c r="Q450" s="25"/>
      <c r="R450" s="24"/>
      <c r="S450" s="26">
        <f t="shared" si="28"/>
        <v>0</v>
      </c>
      <c r="T450" s="26">
        <f>COUNTIF($V$4:V450,V450)</f>
        <v>407</v>
      </c>
      <c r="U450" s="26" t="str">
        <f>IF(T450=1,COUNTIF($T$4:T450,1),"")</f>
        <v/>
      </c>
      <c r="V450" s="27" t="str">
        <f t="shared" si="30"/>
        <v/>
      </c>
      <c r="W450" s="27">
        <f t="shared" si="29"/>
        <v>0</v>
      </c>
      <c r="X450" s="28"/>
      <c r="Y450" s="27"/>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c r="EX450" s="10"/>
      <c r="EY450" s="10"/>
      <c r="EZ450" s="10"/>
      <c r="FA450" s="10"/>
      <c r="FB450" s="10"/>
      <c r="FC450" s="10"/>
      <c r="FD450" s="10"/>
      <c r="FE450" s="10"/>
      <c r="FF450" s="10"/>
      <c r="FG450" s="10"/>
      <c r="FH450" s="10"/>
      <c r="FI450" s="10"/>
      <c r="FJ450" s="10"/>
      <c r="FK450" s="10"/>
      <c r="FL450" s="10"/>
      <c r="FM450" s="10"/>
      <c r="FN450" s="10"/>
      <c r="FO450" s="10"/>
      <c r="FP450" s="10"/>
      <c r="FQ450" s="10"/>
      <c r="FR450" s="10"/>
      <c r="FS450" s="10"/>
      <c r="FT450" s="10"/>
      <c r="FU450" s="10"/>
      <c r="FV450" s="10"/>
      <c r="FW450" s="10"/>
      <c r="FX450" s="10"/>
      <c r="FY450" s="10"/>
      <c r="FZ450" s="10"/>
      <c r="GA450" s="10"/>
      <c r="GB450" s="10"/>
      <c r="GC450" s="10"/>
      <c r="GD450" s="10"/>
      <c r="GE450" s="10"/>
      <c r="GF450" s="10"/>
      <c r="GG450" s="10"/>
      <c r="GH450" s="10"/>
      <c r="GI450" s="10"/>
      <c r="GJ450" s="10"/>
      <c r="GK450" s="10"/>
      <c r="GL450" s="10"/>
      <c r="GM450" s="10"/>
      <c r="GN450" s="10"/>
      <c r="GO450" s="10"/>
      <c r="GP450" s="10"/>
      <c r="GQ450" s="10"/>
      <c r="GR450" s="10"/>
      <c r="GS450" s="10"/>
      <c r="GT450" s="10"/>
      <c r="GU450" s="10"/>
      <c r="GV450" s="10"/>
      <c r="GW450" s="10"/>
      <c r="GX450" s="10"/>
      <c r="GY450" s="10"/>
      <c r="GZ450" s="10"/>
      <c r="HA450" s="10"/>
      <c r="HB450" s="10"/>
      <c r="HC450" s="10"/>
      <c r="HD450" s="10"/>
      <c r="HE450" s="10"/>
      <c r="HF450" s="10"/>
      <c r="HG450" s="10"/>
      <c r="HH450" s="10"/>
      <c r="HI450" s="10"/>
      <c r="HJ450" s="10"/>
      <c r="HK450" s="10"/>
      <c r="HL450" s="10"/>
      <c r="HM450" s="10"/>
      <c r="HN450" s="10"/>
      <c r="HO450" s="10"/>
      <c r="HP450" s="10"/>
      <c r="HQ450" s="10"/>
      <c r="HR450" s="10"/>
      <c r="HS450" s="10"/>
      <c r="HT450" s="10"/>
      <c r="HU450" s="10"/>
      <c r="HV450" s="10"/>
      <c r="HW450" s="10"/>
      <c r="HX450" s="10"/>
      <c r="HY450" s="10"/>
      <c r="HZ450" s="10"/>
      <c r="IA450" s="10"/>
      <c r="IB450" s="10"/>
      <c r="IC450" s="10"/>
      <c r="ID450" s="10"/>
      <c r="IE450" s="10"/>
      <c r="IF450" s="10"/>
      <c r="IG450" s="10"/>
      <c r="IH450" s="10"/>
      <c r="II450" s="10"/>
      <c r="IJ450" s="10"/>
      <c r="IK450" s="10"/>
      <c r="IL450" s="10"/>
      <c r="IM450" s="10"/>
      <c r="IN450" s="10"/>
      <c r="IO450" s="10"/>
      <c r="IP450" s="10"/>
      <c r="IQ450" s="10"/>
      <c r="IR450" s="10"/>
      <c r="IS450" s="10"/>
      <c r="IT450" s="10"/>
      <c r="IU450" s="10"/>
      <c r="IV450" s="10"/>
      <c r="IW450" s="10"/>
    </row>
    <row r="451" spans="1:257">
      <c r="A451" s="34"/>
      <c r="B451" s="50"/>
      <c r="C451" s="24"/>
      <c r="D451" s="24"/>
      <c r="E451" s="24"/>
      <c r="F451" s="25"/>
      <c r="G451" s="25"/>
      <c r="H451" s="25"/>
      <c r="I451" s="25"/>
      <c r="J451" s="25"/>
      <c r="K451" s="25"/>
      <c r="L451" s="25"/>
      <c r="M451" s="25"/>
      <c r="N451" s="25"/>
      <c r="O451" s="25"/>
      <c r="P451" s="25"/>
      <c r="Q451" s="25"/>
      <c r="R451" s="24"/>
      <c r="S451" s="26">
        <f t="shared" si="28"/>
        <v>0</v>
      </c>
      <c r="T451" s="26">
        <f>COUNTIF($V$4:V451,V451)</f>
        <v>408</v>
      </c>
      <c r="U451" s="26" t="str">
        <f>IF(T451=1,COUNTIF($T$4:T451,1),"")</f>
        <v/>
      </c>
      <c r="V451" s="27" t="str">
        <f t="shared" si="30"/>
        <v/>
      </c>
      <c r="W451" s="27">
        <f t="shared" si="29"/>
        <v>0</v>
      </c>
      <c r="X451" s="28"/>
      <c r="Y451" s="27"/>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c r="EX451" s="10"/>
      <c r="EY451" s="10"/>
      <c r="EZ451" s="10"/>
      <c r="FA451" s="10"/>
      <c r="FB451" s="10"/>
      <c r="FC451" s="10"/>
      <c r="FD451" s="10"/>
      <c r="FE451" s="10"/>
      <c r="FF451" s="10"/>
      <c r="FG451" s="10"/>
      <c r="FH451" s="10"/>
      <c r="FI451" s="10"/>
      <c r="FJ451" s="10"/>
      <c r="FK451" s="10"/>
      <c r="FL451" s="10"/>
      <c r="FM451" s="10"/>
      <c r="FN451" s="10"/>
      <c r="FO451" s="10"/>
      <c r="FP451" s="10"/>
      <c r="FQ451" s="10"/>
      <c r="FR451" s="10"/>
      <c r="FS451" s="10"/>
      <c r="FT451" s="10"/>
      <c r="FU451" s="10"/>
      <c r="FV451" s="10"/>
      <c r="FW451" s="10"/>
      <c r="FX451" s="10"/>
      <c r="FY451" s="10"/>
      <c r="FZ451" s="10"/>
      <c r="GA451" s="10"/>
      <c r="GB451" s="10"/>
      <c r="GC451" s="10"/>
      <c r="GD451" s="10"/>
      <c r="GE451" s="10"/>
      <c r="GF451" s="10"/>
      <c r="GG451" s="10"/>
      <c r="GH451" s="10"/>
      <c r="GI451" s="10"/>
      <c r="GJ451" s="10"/>
      <c r="GK451" s="10"/>
      <c r="GL451" s="10"/>
      <c r="GM451" s="10"/>
      <c r="GN451" s="10"/>
      <c r="GO451" s="10"/>
      <c r="GP451" s="10"/>
      <c r="GQ451" s="10"/>
      <c r="GR451" s="10"/>
      <c r="GS451" s="10"/>
      <c r="GT451" s="10"/>
      <c r="GU451" s="10"/>
      <c r="GV451" s="10"/>
      <c r="GW451" s="10"/>
      <c r="GX451" s="10"/>
      <c r="GY451" s="10"/>
      <c r="GZ451" s="10"/>
      <c r="HA451" s="10"/>
      <c r="HB451" s="10"/>
      <c r="HC451" s="10"/>
      <c r="HD451" s="10"/>
      <c r="HE451" s="10"/>
      <c r="HF451" s="10"/>
      <c r="HG451" s="10"/>
      <c r="HH451" s="10"/>
      <c r="HI451" s="10"/>
      <c r="HJ451" s="10"/>
      <c r="HK451" s="10"/>
      <c r="HL451" s="10"/>
      <c r="HM451" s="10"/>
      <c r="HN451" s="10"/>
      <c r="HO451" s="10"/>
      <c r="HP451" s="10"/>
      <c r="HQ451" s="10"/>
      <c r="HR451" s="10"/>
      <c r="HS451" s="10"/>
      <c r="HT451" s="10"/>
      <c r="HU451" s="10"/>
      <c r="HV451" s="10"/>
      <c r="HW451" s="10"/>
      <c r="HX451" s="10"/>
      <c r="HY451" s="10"/>
      <c r="HZ451" s="10"/>
      <c r="IA451" s="10"/>
      <c r="IB451" s="10"/>
      <c r="IC451" s="10"/>
      <c r="ID451" s="10"/>
      <c r="IE451" s="10"/>
      <c r="IF451" s="10"/>
      <c r="IG451" s="10"/>
      <c r="IH451" s="10"/>
      <c r="II451" s="10"/>
      <c r="IJ451" s="10"/>
      <c r="IK451" s="10"/>
      <c r="IL451" s="10"/>
      <c r="IM451" s="10"/>
      <c r="IN451" s="10"/>
      <c r="IO451" s="10"/>
      <c r="IP451" s="10"/>
      <c r="IQ451" s="10"/>
      <c r="IR451" s="10"/>
      <c r="IS451" s="10"/>
      <c r="IT451" s="10"/>
      <c r="IU451" s="10"/>
      <c r="IV451" s="10"/>
      <c r="IW451" s="10"/>
    </row>
    <row r="452" spans="1:257">
      <c r="A452" s="34"/>
      <c r="B452" s="50"/>
      <c r="C452" s="24"/>
      <c r="D452" s="24"/>
      <c r="E452" s="24"/>
      <c r="F452" s="25"/>
      <c r="G452" s="25"/>
      <c r="H452" s="25"/>
      <c r="I452" s="25"/>
      <c r="J452" s="24"/>
      <c r="K452" s="25"/>
      <c r="L452" s="25"/>
      <c r="M452" s="25"/>
      <c r="N452" s="25"/>
      <c r="O452" s="25"/>
      <c r="P452" s="25"/>
      <c r="Q452" s="25"/>
      <c r="R452" s="24"/>
      <c r="S452" s="26">
        <f t="shared" ref="S452:S515" si="31">A452</f>
        <v>0</v>
      </c>
      <c r="T452" s="26">
        <f>COUNTIF($V$4:V452,V452)</f>
        <v>409</v>
      </c>
      <c r="U452" s="26" t="str">
        <f>IF(T452=1,COUNTIF($T$4:T452,1),"")</f>
        <v/>
      </c>
      <c r="V452" s="27" t="str">
        <f t="shared" si="30"/>
        <v/>
      </c>
      <c r="W452" s="27">
        <f t="shared" ref="W452:W515" si="32">$F452</f>
        <v>0</v>
      </c>
      <c r="X452" s="28"/>
      <c r="Y452" s="27"/>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c r="EW452" s="10"/>
      <c r="EX452" s="10"/>
      <c r="EY452" s="10"/>
      <c r="EZ452" s="10"/>
      <c r="FA452" s="10"/>
      <c r="FB452" s="10"/>
      <c r="FC452" s="10"/>
      <c r="FD452" s="10"/>
      <c r="FE452" s="10"/>
      <c r="FF452" s="10"/>
      <c r="FG452" s="10"/>
      <c r="FH452" s="10"/>
      <c r="FI452" s="10"/>
      <c r="FJ452" s="10"/>
      <c r="FK452" s="10"/>
      <c r="FL452" s="10"/>
      <c r="FM452" s="10"/>
      <c r="FN452" s="10"/>
      <c r="FO452" s="10"/>
      <c r="FP452" s="10"/>
      <c r="FQ452" s="10"/>
      <c r="FR452" s="10"/>
      <c r="FS452" s="10"/>
      <c r="FT452" s="10"/>
      <c r="FU452" s="10"/>
      <c r="FV452" s="10"/>
      <c r="FW452" s="10"/>
      <c r="FX452" s="10"/>
      <c r="FY452" s="10"/>
      <c r="FZ452" s="10"/>
      <c r="GA452" s="10"/>
      <c r="GB452" s="10"/>
      <c r="GC452" s="10"/>
      <c r="GD452" s="10"/>
      <c r="GE452" s="10"/>
      <c r="GF452" s="10"/>
      <c r="GG452" s="10"/>
      <c r="GH452" s="10"/>
      <c r="GI452" s="10"/>
      <c r="GJ452" s="10"/>
      <c r="GK452" s="10"/>
      <c r="GL452" s="10"/>
      <c r="GM452" s="10"/>
      <c r="GN452" s="10"/>
      <c r="GO452" s="10"/>
      <c r="GP452" s="10"/>
      <c r="GQ452" s="10"/>
      <c r="GR452" s="10"/>
      <c r="GS452" s="10"/>
      <c r="GT452" s="10"/>
      <c r="GU452" s="10"/>
      <c r="GV452" s="10"/>
      <c r="GW452" s="10"/>
      <c r="GX452" s="10"/>
      <c r="GY452" s="10"/>
      <c r="GZ452" s="10"/>
      <c r="HA452" s="10"/>
      <c r="HB452" s="10"/>
      <c r="HC452" s="10"/>
      <c r="HD452" s="10"/>
      <c r="HE452" s="10"/>
      <c r="HF452" s="10"/>
      <c r="HG452" s="10"/>
      <c r="HH452" s="10"/>
      <c r="HI452" s="10"/>
      <c r="HJ452" s="10"/>
      <c r="HK452" s="10"/>
      <c r="HL452" s="10"/>
      <c r="HM452" s="10"/>
      <c r="HN452" s="10"/>
      <c r="HO452" s="10"/>
      <c r="HP452" s="10"/>
      <c r="HQ452" s="10"/>
      <c r="HR452" s="10"/>
      <c r="HS452" s="10"/>
      <c r="HT452" s="10"/>
      <c r="HU452" s="10"/>
      <c r="HV452" s="10"/>
      <c r="HW452" s="10"/>
      <c r="HX452" s="10"/>
      <c r="HY452" s="10"/>
      <c r="HZ452" s="10"/>
      <c r="IA452" s="10"/>
      <c r="IB452" s="10"/>
      <c r="IC452" s="10"/>
      <c r="ID452" s="10"/>
      <c r="IE452" s="10"/>
      <c r="IF452" s="10"/>
      <c r="IG452" s="10"/>
      <c r="IH452" s="10"/>
      <c r="II452" s="10"/>
      <c r="IJ452" s="10"/>
      <c r="IK452" s="10"/>
      <c r="IL452" s="10"/>
      <c r="IM452" s="10"/>
      <c r="IN452" s="10"/>
      <c r="IO452" s="10"/>
      <c r="IP452" s="10"/>
      <c r="IQ452" s="10"/>
      <c r="IR452" s="10"/>
      <c r="IS452" s="10"/>
      <c r="IT452" s="10"/>
      <c r="IU452" s="10"/>
      <c r="IV452" s="10"/>
      <c r="IW452" s="10"/>
    </row>
    <row r="453" spans="1:257">
      <c r="A453" s="34"/>
      <c r="B453" s="50"/>
      <c r="C453" s="24"/>
      <c r="D453" s="24"/>
      <c r="E453" s="24"/>
      <c r="F453" s="25"/>
      <c r="G453" s="25"/>
      <c r="H453" s="25"/>
      <c r="I453" s="25"/>
      <c r="J453" s="24"/>
      <c r="K453" s="25"/>
      <c r="L453" s="25"/>
      <c r="M453" s="25"/>
      <c r="N453" s="25"/>
      <c r="O453" s="25"/>
      <c r="P453" s="25"/>
      <c r="Q453" s="25"/>
      <c r="R453" s="24"/>
      <c r="S453" s="26">
        <f t="shared" si="31"/>
        <v>0</v>
      </c>
      <c r="T453" s="26">
        <f>COUNTIF($V$4:V453,V453)</f>
        <v>410</v>
      </c>
      <c r="U453" s="26" t="str">
        <f>IF(T453=1,COUNTIF($T$4:T453,1),"")</f>
        <v/>
      </c>
      <c r="V453" s="27" t="str">
        <f t="shared" ref="V453:V516" si="33">$E453&amp;$C453</f>
        <v/>
      </c>
      <c r="W453" s="27">
        <f t="shared" si="32"/>
        <v>0</v>
      </c>
      <c r="X453" s="28"/>
      <c r="Y453" s="27"/>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c r="EW453" s="10"/>
      <c r="EX453" s="10"/>
      <c r="EY453" s="10"/>
      <c r="EZ453" s="10"/>
      <c r="FA453" s="10"/>
      <c r="FB453" s="10"/>
      <c r="FC453" s="10"/>
      <c r="FD453" s="10"/>
      <c r="FE453" s="10"/>
      <c r="FF453" s="10"/>
      <c r="FG453" s="10"/>
      <c r="FH453" s="10"/>
      <c r="FI453" s="10"/>
      <c r="FJ453" s="10"/>
      <c r="FK453" s="10"/>
      <c r="FL453" s="10"/>
      <c r="FM453" s="10"/>
      <c r="FN453" s="10"/>
      <c r="FO453" s="10"/>
      <c r="FP453" s="10"/>
      <c r="FQ453" s="10"/>
      <c r="FR453" s="10"/>
      <c r="FS453" s="10"/>
      <c r="FT453" s="10"/>
      <c r="FU453" s="10"/>
      <c r="FV453" s="10"/>
      <c r="FW453" s="10"/>
      <c r="FX453" s="10"/>
      <c r="FY453" s="10"/>
      <c r="FZ453" s="10"/>
      <c r="GA453" s="10"/>
      <c r="GB453" s="10"/>
      <c r="GC453" s="10"/>
      <c r="GD453" s="10"/>
      <c r="GE453" s="10"/>
      <c r="GF453" s="10"/>
      <c r="GG453" s="10"/>
      <c r="GH453" s="10"/>
      <c r="GI453" s="10"/>
      <c r="GJ453" s="10"/>
      <c r="GK453" s="10"/>
      <c r="GL453" s="10"/>
      <c r="GM453" s="10"/>
      <c r="GN453" s="10"/>
      <c r="GO453" s="10"/>
      <c r="GP453" s="10"/>
      <c r="GQ453" s="10"/>
      <c r="GR453" s="10"/>
      <c r="GS453" s="10"/>
      <c r="GT453" s="10"/>
      <c r="GU453" s="10"/>
      <c r="GV453" s="10"/>
      <c r="GW453" s="10"/>
      <c r="GX453" s="10"/>
      <c r="GY453" s="10"/>
      <c r="GZ453" s="10"/>
      <c r="HA453" s="10"/>
      <c r="HB453" s="10"/>
      <c r="HC453" s="10"/>
      <c r="HD453" s="10"/>
      <c r="HE453" s="10"/>
      <c r="HF453" s="10"/>
      <c r="HG453" s="10"/>
      <c r="HH453" s="10"/>
      <c r="HI453" s="10"/>
      <c r="HJ453" s="10"/>
      <c r="HK453" s="10"/>
      <c r="HL453" s="10"/>
      <c r="HM453" s="10"/>
      <c r="HN453" s="10"/>
      <c r="HO453" s="10"/>
      <c r="HP453" s="10"/>
      <c r="HQ453" s="10"/>
      <c r="HR453" s="10"/>
      <c r="HS453" s="10"/>
      <c r="HT453" s="10"/>
      <c r="HU453" s="10"/>
      <c r="HV453" s="10"/>
      <c r="HW453" s="10"/>
      <c r="HX453" s="10"/>
      <c r="HY453" s="10"/>
      <c r="HZ453" s="10"/>
      <c r="IA453" s="10"/>
      <c r="IB453" s="10"/>
      <c r="IC453" s="10"/>
      <c r="ID453" s="10"/>
      <c r="IE453" s="10"/>
      <c r="IF453" s="10"/>
      <c r="IG453" s="10"/>
      <c r="IH453" s="10"/>
      <c r="II453" s="10"/>
      <c r="IJ453" s="10"/>
      <c r="IK453" s="10"/>
      <c r="IL453" s="10"/>
      <c r="IM453" s="10"/>
      <c r="IN453" s="10"/>
      <c r="IO453" s="10"/>
      <c r="IP453" s="10"/>
      <c r="IQ453" s="10"/>
      <c r="IR453" s="10"/>
      <c r="IS453" s="10"/>
      <c r="IT453" s="10"/>
      <c r="IU453" s="10"/>
      <c r="IV453" s="10"/>
      <c r="IW453" s="10"/>
    </row>
    <row r="454" spans="1:257">
      <c r="A454" s="34"/>
      <c r="B454" s="50"/>
      <c r="C454" s="24"/>
      <c r="D454" s="24"/>
      <c r="E454" s="24"/>
      <c r="F454" s="25"/>
      <c r="G454" s="25"/>
      <c r="H454" s="25"/>
      <c r="I454" s="25"/>
      <c r="J454" s="24"/>
      <c r="K454" s="25"/>
      <c r="L454" s="25"/>
      <c r="M454" s="25"/>
      <c r="N454" s="25"/>
      <c r="O454" s="25"/>
      <c r="P454" s="25"/>
      <c r="Q454" s="25"/>
      <c r="R454" s="24"/>
      <c r="S454" s="26">
        <f t="shared" si="31"/>
        <v>0</v>
      </c>
      <c r="T454" s="26">
        <f>COUNTIF($V$4:V454,V454)</f>
        <v>411</v>
      </c>
      <c r="U454" s="26" t="str">
        <f>IF(T454=1,COUNTIF($T$4:T454,1),"")</f>
        <v/>
      </c>
      <c r="V454" s="27" t="str">
        <f t="shared" si="33"/>
        <v/>
      </c>
      <c r="W454" s="27">
        <f t="shared" si="32"/>
        <v>0</v>
      </c>
      <c r="X454" s="28"/>
      <c r="Y454" s="27"/>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c r="EX454" s="10"/>
      <c r="EY454" s="10"/>
      <c r="EZ454" s="10"/>
      <c r="FA454" s="10"/>
      <c r="FB454" s="10"/>
      <c r="FC454" s="10"/>
      <c r="FD454" s="10"/>
      <c r="FE454" s="10"/>
      <c r="FF454" s="10"/>
      <c r="FG454" s="10"/>
      <c r="FH454" s="10"/>
      <c r="FI454" s="10"/>
      <c r="FJ454" s="10"/>
      <c r="FK454" s="10"/>
      <c r="FL454" s="10"/>
      <c r="FM454" s="10"/>
      <c r="FN454" s="10"/>
      <c r="FO454" s="10"/>
      <c r="FP454" s="10"/>
      <c r="FQ454" s="10"/>
      <c r="FR454" s="10"/>
      <c r="FS454" s="10"/>
      <c r="FT454" s="10"/>
      <c r="FU454" s="10"/>
      <c r="FV454" s="10"/>
      <c r="FW454" s="10"/>
      <c r="FX454" s="10"/>
      <c r="FY454" s="10"/>
      <c r="FZ454" s="10"/>
      <c r="GA454" s="10"/>
      <c r="GB454" s="10"/>
      <c r="GC454" s="10"/>
      <c r="GD454" s="10"/>
      <c r="GE454" s="10"/>
      <c r="GF454" s="10"/>
      <c r="GG454" s="10"/>
      <c r="GH454" s="10"/>
      <c r="GI454" s="10"/>
      <c r="GJ454" s="10"/>
      <c r="GK454" s="10"/>
      <c r="GL454" s="10"/>
      <c r="GM454" s="10"/>
      <c r="GN454" s="10"/>
      <c r="GO454" s="10"/>
      <c r="GP454" s="10"/>
      <c r="GQ454" s="10"/>
      <c r="GR454" s="10"/>
      <c r="GS454" s="10"/>
      <c r="GT454" s="10"/>
      <c r="GU454" s="10"/>
      <c r="GV454" s="10"/>
      <c r="GW454" s="10"/>
      <c r="GX454" s="10"/>
      <c r="GY454" s="10"/>
      <c r="GZ454" s="10"/>
      <c r="HA454" s="10"/>
      <c r="HB454" s="10"/>
      <c r="HC454" s="10"/>
      <c r="HD454" s="10"/>
      <c r="HE454" s="10"/>
      <c r="HF454" s="10"/>
      <c r="HG454" s="10"/>
      <c r="HH454" s="10"/>
      <c r="HI454" s="10"/>
      <c r="HJ454" s="10"/>
      <c r="HK454" s="10"/>
      <c r="HL454" s="10"/>
      <c r="HM454" s="10"/>
      <c r="HN454" s="10"/>
      <c r="HO454" s="10"/>
      <c r="HP454" s="10"/>
      <c r="HQ454" s="10"/>
      <c r="HR454" s="10"/>
      <c r="HS454" s="10"/>
      <c r="HT454" s="10"/>
      <c r="HU454" s="10"/>
      <c r="HV454" s="10"/>
      <c r="HW454" s="10"/>
      <c r="HX454" s="10"/>
      <c r="HY454" s="10"/>
      <c r="HZ454" s="10"/>
      <c r="IA454" s="10"/>
      <c r="IB454" s="10"/>
      <c r="IC454" s="10"/>
      <c r="ID454" s="10"/>
      <c r="IE454" s="10"/>
      <c r="IF454" s="10"/>
      <c r="IG454" s="10"/>
      <c r="IH454" s="10"/>
      <c r="II454" s="10"/>
      <c r="IJ454" s="10"/>
      <c r="IK454" s="10"/>
      <c r="IL454" s="10"/>
      <c r="IM454" s="10"/>
      <c r="IN454" s="10"/>
      <c r="IO454" s="10"/>
      <c r="IP454" s="10"/>
      <c r="IQ454" s="10"/>
      <c r="IR454" s="10"/>
      <c r="IS454" s="10"/>
      <c r="IT454" s="10"/>
      <c r="IU454" s="10"/>
      <c r="IV454" s="10"/>
      <c r="IW454" s="10"/>
    </row>
    <row r="455" spans="1:257">
      <c r="A455" s="34"/>
      <c r="B455" s="50"/>
      <c r="C455" s="24"/>
      <c r="D455" s="24"/>
      <c r="E455" s="24"/>
      <c r="F455" s="25"/>
      <c r="G455" s="25"/>
      <c r="H455" s="25"/>
      <c r="I455" s="25"/>
      <c r="J455" s="24"/>
      <c r="K455" s="25"/>
      <c r="L455" s="25"/>
      <c r="M455" s="25"/>
      <c r="N455" s="25"/>
      <c r="O455" s="25"/>
      <c r="P455" s="25"/>
      <c r="Q455" s="25"/>
      <c r="R455" s="24"/>
      <c r="S455" s="26">
        <f t="shared" si="31"/>
        <v>0</v>
      </c>
      <c r="T455" s="26">
        <f>COUNTIF($V$4:V455,V455)</f>
        <v>412</v>
      </c>
      <c r="U455" s="26" t="str">
        <f>IF(T455=1,COUNTIF($T$4:T455,1),"")</f>
        <v/>
      </c>
      <c r="V455" s="27" t="str">
        <f t="shared" si="33"/>
        <v/>
      </c>
      <c r="W455" s="27">
        <f t="shared" si="32"/>
        <v>0</v>
      </c>
      <c r="X455" s="28"/>
      <c r="Y455" s="27"/>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c r="EX455" s="10"/>
      <c r="EY455" s="10"/>
      <c r="EZ455" s="10"/>
      <c r="FA455" s="10"/>
      <c r="FB455" s="10"/>
      <c r="FC455" s="10"/>
      <c r="FD455" s="10"/>
      <c r="FE455" s="10"/>
      <c r="FF455" s="10"/>
      <c r="FG455" s="10"/>
      <c r="FH455" s="10"/>
      <c r="FI455" s="10"/>
      <c r="FJ455" s="10"/>
      <c r="FK455" s="10"/>
      <c r="FL455" s="10"/>
      <c r="FM455" s="10"/>
      <c r="FN455" s="10"/>
      <c r="FO455" s="10"/>
      <c r="FP455" s="10"/>
      <c r="FQ455" s="10"/>
      <c r="FR455" s="10"/>
      <c r="FS455" s="10"/>
      <c r="FT455" s="10"/>
      <c r="FU455" s="10"/>
      <c r="FV455" s="10"/>
      <c r="FW455" s="10"/>
      <c r="FX455" s="10"/>
      <c r="FY455" s="10"/>
      <c r="FZ455" s="10"/>
      <c r="GA455" s="10"/>
      <c r="GB455" s="10"/>
      <c r="GC455" s="10"/>
      <c r="GD455" s="10"/>
      <c r="GE455" s="10"/>
      <c r="GF455" s="10"/>
      <c r="GG455" s="10"/>
      <c r="GH455" s="10"/>
      <c r="GI455" s="10"/>
      <c r="GJ455" s="10"/>
      <c r="GK455" s="10"/>
      <c r="GL455" s="10"/>
      <c r="GM455" s="10"/>
      <c r="GN455" s="10"/>
      <c r="GO455" s="10"/>
      <c r="GP455" s="10"/>
      <c r="GQ455" s="10"/>
      <c r="GR455" s="10"/>
      <c r="GS455" s="10"/>
      <c r="GT455" s="10"/>
      <c r="GU455" s="10"/>
      <c r="GV455" s="10"/>
      <c r="GW455" s="10"/>
      <c r="GX455" s="10"/>
      <c r="GY455" s="10"/>
      <c r="GZ455" s="10"/>
      <c r="HA455" s="10"/>
      <c r="HB455" s="10"/>
      <c r="HC455" s="10"/>
      <c r="HD455" s="10"/>
      <c r="HE455" s="10"/>
      <c r="HF455" s="10"/>
      <c r="HG455" s="10"/>
      <c r="HH455" s="10"/>
      <c r="HI455" s="10"/>
      <c r="HJ455" s="10"/>
      <c r="HK455" s="10"/>
      <c r="HL455" s="10"/>
      <c r="HM455" s="10"/>
      <c r="HN455" s="10"/>
      <c r="HO455" s="10"/>
      <c r="HP455" s="10"/>
      <c r="HQ455" s="10"/>
      <c r="HR455" s="10"/>
      <c r="HS455" s="10"/>
      <c r="HT455" s="10"/>
      <c r="HU455" s="10"/>
      <c r="HV455" s="10"/>
      <c r="HW455" s="10"/>
      <c r="HX455" s="10"/>
      <c r="HY455" s="10"/>
      <c r="HZ455" s="10"/>
      <c r="IA455" s="10"/>
      <c r="IB455" s="10"/>
      <c r="IC455" s="10"/>
      <c r="ID455" s="10"/>
      <c r="IE455" s="10"/>
      <c r="IF455" s="10"/>
      <c r="IG455" s="10"/>
      <c r="IH455" s="10"/>
      <c r="II455" s="10"/>
      <c r="IJ455" s="10"/>
      <c r="IK455" s="10"/>
      <c r="IL455" s="10"/>
      <c r="IM455" s="10"/>
      <c r="IN455" s="10"/>
      <c r="IO455" s="10"/>
      <c r="IP455" s="10"/>
      <c r="IQ455" s="10"/>
      <c r="IR455" s="10"/>
      <c r="IS455" s="10"/>
      <c r="IT455" s="10"/>
      <c r="IU455" s="10"/>
      <c r="IV455" s="10"/>
      <c r="IW455" s="10"/>
    </row>
    <row r="456" spans="1:257">
      <c r="A456" s="34"/>
      <c r="B456" s="50"/>
      <c r="C456" s="24"/>
      <c r="D456" s="24"/>
      <c r="E456" s="24"/>
      <c r="F456" s="25"/>
      <c r="G456" s="25"/>
      <c r="H456" s="25"/>
      <c r="I456" s="25"/>
      <c r="J456" s="24"/>
      <c r="K456" s="25"/>
      <c r="L456" s="25"/>
      <c r="M456" s="25"/>
      <c r="N456" s="25"/>
      <c r="O456" s="25"/>
      <c r="P456" s="25"/>
      <c r="Q456" s="25"/>
      <c r="R456" s="24"/>
      <c r="S456" s="26">
        <f t="shared" si="31"/>
        <v>0</v>
      </c>
      <c r="T456" s="26">
        <f>COUNTIF($V$4:V456,V456)</f>
        <v>413</v>
      </c>
      <c r="U456" s="26" t="str">
        <f>IF(T456=1,COUNTIF($T$4:T456,1),"")</f>
        <v/>
      </c>
      <c r="V456" s="27" t="str">
        <f t="shared" si="33"/>
        <v/>
      </c>
      <c r="W456" s="27">
        <f t="shared" si="32"/>
        <v>0</v>
      </c>
      <c r="X456" s="28"/>
      <c r="Y456" s="27"/>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c r="EW456" s="10"/>
      <c r="EX456" s="10"/>
      <c r="EY456" s="10"/>
      <c r="EZ456" s="10"/>
      <c r="FA456" s="10"/>
      <c r="FB456" s="10"/>
      <c r="FC456" s="10"/>
      <c r="FD456" s="10"/>
      <c r="FE456" s="10"/>
      <c r="FF456" s="10"/>
      <c r="FG456" s="10"/>
      <c r="FH456" s="10"/>
      <c r="FI456" s="10"/>
      <c r="FJ456" s="10"/>
      <c r="FK456" s="10"/>
      <c r="FL456" s="10"/>
      <c r="FM456" s="10"/>
      <c r="FN456" s="10"/>
      <c r="FO456" s="10"/>
      <c r="FP456" s="10"/>
      <c r="FQ456" s="10"/>
      <c r="FR456" s="10"/>
      <c r="FS456" s="10"/>
      <c r="FT456" s="10"/>
      <c r="FU456" s="10"/>
      <c r="FV456" s="10"/>
      <c r="FW456" s="10"/>
      <c r="FX456" s="10"/>
      <c r="FY456" s="10"/>
      <c r="FZ456" s="10"/>
      <c r="GA456" s="10"/>
      <c r="GB456" s="10"/>
      <c r="GC456" s="10"/>
      <c r="GD456" s="10"/>
      <c r="GE456" s="10"/>
      <c r="GF456" s="10"/>
      <c r="GG456" s="10"/>
      <c r="GH456" s="10"/>
      <c r="GI456" s="10"/>
      <c r="GJ456" s="10"/>
      <c r="GK456" s="10"/>
      <c r="GL456" s="10"/>
      <c r="GM456" s="10"/>
      <c r="GN456" s="10"/>
      <c r="GO456" s="10"/>
      <c r="GP456" s="10"/>
      <c r="GQ456" s="10"/>
      <c r="GR456" s="10"/>
      <c r="GS456" s="10"/>
      <c r="GT456" s="10"/>
      <c r="GU456" s="10"/>
      <c r="GV456" s="10"/>
      <c r="GW456" s="10"/>
      <c r="GX456" s="10"/>
      <c r="GY456" s="10"/>
      <c r="GZ456" s="10"/>
      <c r="HA456" s="10"/>
      <c r="HB456" s="10"/>
      <c r="HC456" s="10"/>
      <c r="HD456" s="10"/>
      <c r="HE456" s="10"/>
      <c r="HF456" s="10"/>
      <c r="HG456" s="10"/>
      <c r="HH456" s="10"/>
      <c r="HI456" s="10"/>
      <c r="HJ456" s="10"/>
      <c r="HK456" s="10"/>
      <c r="HL456" s="10"/>
      <c r="HM456" s="10"/>
      <c r="HN456" s="10"/>
      <c r="HO456" s="10"/>
      <c r="HP456" s="10"/>
      <c r="HQ456" s="10"/>
      <c r="HR456" s="10"/>
      <c r="HS456" s="10"/>
      <c r="HT456" s="10"/>
      <c r="HU456" s="10"/>
      <c r="HV456" s="10"/>
      <c r="HW456" s="10"/>
      <c r="HX456" s="10"/>
      <c r="HY456" s="10"/>
      <c r="HZ456" s="10"/>
      <c r="IA456" s="10"/>
      <c r="IB456" s="10"/>
      <c r="IC456" s="10"/>
      <c r="ID456" s="10"/>
      <c r="IE456" s="10"/>
      <c r="IF456" s="10"/>
      <c r="IG456" s="10"/>
      <c r="IH456" s="10"/>
      <c r="II456" s="10"/>
      <c r="IJ456" s="10"/>
      <c r="IK456" s="10"/>
      <c r="IL456" s="10"/>
      <c r="IM456" s="10"/>
      <c r="IN456" s="10"/>
      <c r="IO456" s="10"/>
      <c r="IP456" s="10"/>
      <c r="IQ456" s="10"/>
      <c r="IR456" s="10"/>
      <c r="IS456" s="10"/>
      <c r="IT456" s="10"/>
      <c r="IU456" s="10"/>
      <c r="IV456" s="10"/>
      <c r="IW456" s="10"/>
    </row>
    <row r="457" spans="1:257">
      <c r="A457" s="34"/>
      <c r="B457" s="50"/>
      <c r="C457" s="24"/>
      <c r="D457" s="24"/>
      <c r="E457" s="24"/>
      <c r="F457" s="25"/>
      <c r="G457" s="25"/>
      <c r="H457" s="25"/>
      <c r="I457" s="25"/>
      <c r="J457" s="24"/>
      <c r="K457" s="25"/>
      <c r="L457" s="25"/>
      <c r="M457" s="25"/>
      <c r="N457" s="25"/>
      <c r="O457" s="25"/>
      <c r="P457" s="25"/>
      <c r="Q457" s="25"/>
      <c r="R457" s="24"/>
      <c r="S457" s="26">
        <f t="shared" si="31"/>
        <v>0</v>
      </c>
      <c r="T457" s="26">
        <f>COUNTIF($V$4:V457,V457)</f>
        <v>414</v>
      </c>
      <c r="U457" s="26" t="str">
        <f>IF(T457=1,COUNTIF($T$4:T457,1),"")</f>
        <v/>
      </c>
      <c r="V457" s="27" t="str">
        <f t="shared" si="33"/>
        <v/>
      </c>
      <c r="W457" s="27">
        <f t="shared" si="32"/>
        <v>0</v>
      </c>
      <c r="X457" s="28"/>
      <c r="Y457" s="27"/>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c r="EW457" s="10"/>
      <c r="EX457" s="10"/>
      <c r="EY457" s="10"/>
      <c r="EZ457" s="10"/>
      <c r="FA457" s="10"/>
      <c r="FB457" s="10"/>
      <c r="FC457" s="10"/>
      <c r="FD457" s="10"/>
      <c r="FE457" s="10"/>
      <c r="FF457" s="10"/>
      <c r="FG457" s="10"/>
      <c r="FH457" s="10"/>
      <c r="FI457" s="10"/>
      <c r="FJ457" s="10"/>
      <c r="FK457" s="10"/>
      <c r="FL457" s="10"/>
      <c r="FM457" s="10"/>
      <c r="FN457" s="10"/>
      <c r="FO457" s="10"/>
      <c r="FP457" s="10"/>
      <c r="FQ457" s="10"/>
      <c r="FR457" s="10"/>
      <c r="FS457" s="10"/>
      <c r="FT457" s="10"/>
      <c r="FU457" s="10"/>
      <c r="FV457" s="10"/>
      <c r="FW457" s="10"/>
      <c r="FX457" s="10"/>
      <c r="FY457" s="10"/>
      <c r="FZ457" s="10"/>
      <c r="GA457" s="10"/>
      <c r="GB457" s="10"/>
      <c r="GC457" s="10"/>
      <c r="GD457" s="10"/>
      <c r="GE457" s="10"/>
      <c r="GF457" s="10"/>
      <c r="GG457" s="10"/>
      <c r="GH457" s="10"/>
      <c r="GI457" s="10"/>
      <c r="GJ457" s="10"/>
      <c r="GK457" s="10"/>
      <c r="GL457" s="10"/>
      <c r="GM457" s="10"/>
      <c r="GN457" s="10"/>
      <c r="GO457" s="10"/>
      <c r="GP457" s="10"/>
      <c r="GQ457" s="10"/>
      <c r="GR457" s="10"/>
      <c r="GS457" s="10"/>
      <c r="GT457" s="10"/>
      <c r="GU457" s="10"/>
      <c r="GV457" s="10"/>
      <c r="GW457" s="10"/>
      <c r="GX457" s="10"/>
      <c r="GY457" s="10"/>
      <c r="GZ457" s="10"/>
      <c r="HA457" s="10"/>
      <c r="HB457" s="10"/>
      <c r="HC457" s="10"/>
      <c r="HD457" s="10"/>
      <c r="HE457" s="10"/>
      <c r="HF457" s="10"/>
      <c r="HG457" s="10"/>
      <c r="HH457" s="10"/>
      <c r="HI457" s="10"/>
      <c r="HJ457" s="10"/>
      <c r="HK457" s="10"/>
      <c r="HL457" s="10"/>
      <c r="HM457" s="10"/>
      <c r="HN457" s="10"/>
      <c r="HO457" s="10"/>
      <c r="HP457" s="10"/>
      <c r="HQ457" s="10"/>
      <c r="HR457" s="10"/>
      <c r="HS457" s="10"/>
      <c r="HT457" s="10"/>
      <c r="HU457" s="10"/>
      <c r="HV457" s="10"/>
      <c r="HW457" s="10"/>
      <c r="HX457" s="10"/>
      <c r="HY457" s="10"/>
      <c r="HZ457" s="10"/>
      <c r="IA457" s="10"/>
      <c r="IB457" s="10"/>
      <c r="IC457" s="10"/>
      <c r="ID457" s="10"/>
      <c r="IE457" s="10"/>
      <c r="IF457" s="10"/>
      <c r="IG457" s="10"/>
      <c r="IH457" s="10"/>
      <c r="II457" s="10"/>
      <c r="IJ457" s="10"/>
      <c r="IK457" s="10"/>
      <c r="IL457" s="10"/>
      <c r="IM457" s="10"/>
      <c r="IN457" s="10"/>
      <c r="IO457" s="10"/>
      <c r="IP457" s="10"/>
      <c r="IQ457" s="10"/>
      <c r="IR457" s="10"/>
      <c r="IS457" s="10"/>
      <c r="IT457" s="10"/>
      <c r="IU457" s="10"/>
      <c r="IV457" s="10"/>
      <c r="IW457" s="10"/>
    </row>
    <row r="458" spans="1:257">
      <c r="A458" s="34"/>
      <c r="B458" s="50"/>
      <c r="C458" s="24"/>
      <c r="D458" s="24"/>
      <c r="E458" s="24"/>
      <c r="F458" s="25"/>
      <c r="G458" s="25"/>
      <c r="H458" s="25"/>
      <c r="I458" s="25"/>
      <c r="J458" s="24"/>
      <c r="K458" s="25"/>
      <c r="L458" s="25"/>
      <c r="M458" s="25"/>
      <c r="N458" s="25"/>
      <c r="O458" s="25"/>
      <c r="P458" s="25"/>
      <c r="Q458" s="25"/>
      <c r="R458" s="24"/>
      <c r="S458" s="26">
        <f t="shared" si="31"/>
        <v>0</v>
      </c>
      <c r="T458" s="26">
        <f>COUNTIF($V$4:V458,V458)</f>
        <v>415</v>
      </c>
      <c r="U458" s="26" t="str">
        <f>IF(T458=1,COUNTIF($T$4:T458,1),"")</f>
        <v/>
      </c>
      <c r="V458" s="27" t="str">
        <f t="shared" si="33"/>
        <v/>
      </c>
      <c r="W458" s="27">
        <f t="shared" si="32"/>
        <v>0</v>
      </c>
      <c r="X458" s="28"/>
      <c r="Y458" s="27"/>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c r="EW458" s="10"/>
      <c r="EX458" s="10"/>
      <c r="EY458" s="10"/>
      <c r="EZ458" s="10"/>
      <c r="FA458" s="10"/>
      <c r="FB458" s="10"/>
      <c r="FC458" s="10"/>
      <c r="FD458" s="10"/>
      <c r="FE458" s="10"/>
      <c r="FF458" s="10"/>
      <c r="FG458" s="10"/>
      <c r="FH458" s="10"/>
      <c r="FI458" s="10"/>
      <c r="FJ458" s="10"/>
      <c r="FK458" s="10"/>
      <c r="FL458" s="10"/>
      <c r="FM458" s="10"/>
      <c r="FN458" s="10"/>
      <c r="FO458" s="10"/>
      <c r="FP458" s="10"/>
      <c r="FQ458" s="10"/>
      <c r="FR458" s="10"/>
      <c r="FS458" s="10"/>
      <c r="FT458" s="10"/>
      <c r="FU458" s="10"/>
      <c r="FV458" s="10"/>
      <c r="FW458" s="10"/>
      <c r="FX458" s="10"/>
      <c r="FY458" s="10"/>
      <c r="FZ458" s="10"/>
      <c r="GA458" s="10"/>
      <c r="GB458" s="10"/>
      <c r="GC458" s="10"/>
      <c r="GD458" s="10"/>
      <c r="GE458" s="10"/>
      <c r="GF458" s="10"/>
      <c r="GG458" s="10"/>
      <c r="GH458" s="10"/>
      <c r="GI458" s="10"/>
      <c r="GJ458" s="10"/>
      <c r="GK458" s="10"/>
      <c r="GL458" s="10"/>
      <c r="GM458" s="10"/>
      <c r="GN458" s="10"/>
      <c r="GO458" s="10"/>
      <c r="GP458" s="10"/>
      <c r="GQ458" s="10"/>
      <c r="GR458" s="10"/>
      <c r="GS458" s="10"/>
      <c r="GT458" s="10"/>
      <c r="GU458" s="10"/>
      <c r="GV458" s="10"/>
      <c r="GW458" s="10"/>
      <c r="GX458" s="10"/>
      <c r="GY458" s="10"/>
      <c r="GZ458" s="10"/>
      <c r="HA458" s="10"/>
      <c r="HB458" s="10"/>
      <c r="HC458" s="10"/>
      <c r="HD458" s="10"/>
      <c r="HE458" s="10"/>
      <c r="HF458" s="10"/>
      <c r="HG458" s="10"/>
      <c r="HH458" s="10"/>
      <c r="HI458" s="10"/>
      <c r="HJ458" s="10"/>
      <c r="HK458" s="10"/>
      <c r="HL458" s="10"/>
      <c r="HM458" s="10"/>
      <c r="HN458" s="10"/>
      <c r="HO458" s="10"/>
      <c r="HP458" s="10"/>
      <c r="HQ458" s="10"/>
      <c r="HR458" s="10"/>
      <c r="HS458" s="10"/>
      <c r="HT458" s="10"/>
      <c r="HU458" s="10"/>
      <c r="HV458" s="10"/>
      <c r="HW458" s="10"/>
      <c r="HX458" s="10"/>
      <c r="HY458" s="10"/>
      <c r="HZ458" s="10"/>
      <c r="IA458" s="10"/>
      <c r="IB458" s="10"/>
      <c r="IC458" s="10"/>
      <c r="ID458" s="10"/>
      <c r="IE458" s="10"/>
      <c r="IF458" s="10"/>
      <c r="IG458" s="10"/>
      <c r="IH458" s="10"/>
      <c r="II458" s="10"/>
      <c r="IJ458" s="10"/>
      <c r="IK458" s="10"/>
      <c r="IL458" s="10"/>
      <c r="IM458" s="10"/>
      <c r="IN458" s="10"/>
      <c r="IO458" s="10"/>
      <c r="IP458" s="10"/>
      <c r="IQ458" s="10"/>
      <c r="IR458" s="10"/>
      <c r="IS458" s="10"/>
      <c r="IT458" s="10"/>
      <c r="IU458" s="10"/>
      <c r="IV458" s="10"/>
      <c r="IW458" s="10"/>
    </row>
    <row r="459" spans="1:257">
      <c r="A459" s="34"/>
      <c r="B459" s="50"/>
      <c r="C459" s="24"/>
      <c r="D459" s="24"/>
      <c r="E459" s="24"/>
      <c r="F459" s="25"/>
      <c r="G459" s="25"/>
      <c r="H459" s="25"/>
      <c r="I459" s="25"/>
      <c r="J459" s="24"/>
      <c r="K459" s="25"/>
      <c r="L459" s="25"/>
      <c r="M459" s="25"/>
      <c r="N459" s="25"/>
      <c r="O459" s="25"/>
      <c r="P459" s="25"/>
      <c r="Q459" s="25"/>
      <c r="R459" s="24"/>
      <c r="S459" s="26">
        <f t="shared" si="31"/>
        <v>0</v>
      </c>
      <c r="T459" s="26">
        <f>COUNTIF($V$4:V459,V459)</f>
        <v>416</v>
      </c>
      <c r="U459" s="26" t="str">
        <f>IF(T459=1,COUNTIF($T$4:T459,1),"")</f>
        <v/>
      </c>
      <c r="V459" s="27" t="str">
        <f t="shared" si="33"/>
        <v/>
      </c>
      <c r="W459" s="27">
        <f t="shared" si="32"/>
        <v>0</v>
      </c>
      <c r="X459" s="28"/>
      <c r="Y459" s="27"/>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c r="EW459" s="10"/>
      <c r="EX459" s="10"/>
      <c r="EY459" s="10"/>
      <c r="EZ459" s="10"/>
      <c r="FA459" s="10"/>
      <c r="FB459" s="10"/>
      <c r="FC459" s="10"/>
      <c r="FD459" s="10"/>
      <c r="FE459" s="10"/>
      <c r="FF459" s="10"/>
      <c r="FG459" s="10"/>
      <c r="FH459" s="10"/>
      <c r="FI459" s="10"/>
      <c r="FJ459" s="10"/>
      <c r="FK459" s="10"/>
      <c r="FL459" s="10"/>
      <c r="FM459" s="10"/>
      <c r="FN459" s="10"/>
      <c r="FO459" s="10"/>
      <c r="FP459" s="10"/>
      <c r="FQ459" s="10"/>
      <c r="FR459" s="10"/>
      <c r="FS459" s="10"/>
      <c r="FT459" s="10"/>
      <c r="FU459" s="10"/>
      <c r="FV459" s="10"/>
      <c r="FW459" s="10"/>
      <c r="FX459" s="10"/>
      <c r="FY459" s="10"/>
      <c r="FZ459" s="10"/>
      <c r="GA459" s="10"/>
      <c r="GB459" s="10"/>
      <c r="GC459" s="10"/>
      <c r="GD459" s="10"/>
      <c r="GE459" s="10"/>
      <c r="GF459" s="10"/>
      <c r="GG459" s="10"/>
      <c r="GH459" s="10"/>
      <c r="GI459" s="10"/>
      <c r="GJ459" s="10"/>
      <c r="GK459" s="10"/>
      <c r="GL459" s="10"/>
      <c r="GM459" s="10"/>
      <c r="GN459" s="10"/>
      <c r="GO459" s="10"/>
      <c r="GP459" s="10"/>
      <c r="GQ459" s="10"/>
      <c r="GR459" s="10"/>
      <c r="GS459" s="10"/>
      <c r="GT459" s="10"/>
      <c r="GU459" s="10"/>
      <c r="GV459" s="10"/>
      <c r="GW459" s="10"/>
      <c r="GX459" s="10"/>
      <c r="GY459" s="10"/>
      <c r="GZ459" s="10"/>
      <c r="HA459" s="10"/>
      <c r="HB459" s="10"/>
      <c r="HC459" s="10"/>
      <c r="HD459" s="10"/>
      <c r="HE459" s="10"/>
      <c r="HF459" s="10"/>
      <c r="HG459" s="10"/>
      <c r="HH459" s="10"/>
      <c r="HI459" s="10"/>
      <c r="HJ459" s="10"/>
      <c r="HK459" s="10"/>
      <c r="HL459" s="10"/>
      <c r="HM459" s="10"/>
      <c r="HN459" s="10"/>
      <c r="HO459" s="10"/>
      <c r="HP459" s="10"/>
      <c r="HQ459" s="10"/>
      <c r="HR459" s="10"/>
      <c r="HS459" s="10"/>
      <c r="HT459" s="10"/>
      <c r="HU459" s="10"/>
      <c r="HV459" s="10"/>
      <c r="HW459" s="10"/>
      <c r="HX459" s="10"/>
      <c r="HY459" s="10"/>
      <c r="HZ459" s="10"/>
      <c r="IA459" s="10"/>
      <c r="IB459" s="10"/>
      <c r="IC459" s="10"/>
      <c r="ID459" s="10"/>
      <c r="IE459" s="10"/>
      <c r="IF459" s="10"/>
      <c r="IG459" s="10"/>
      <c r="IH459" s="10"/>
      <c r="II459" s="10"/>
      <c r="IJ459" s="10"/>
      <c r="IK459" s="10"/>
      <c r="IL459" s="10"/>
      <c r="IM459" s="10"/>
      <c r="IN459" s="10"/>
      <c r="IO459" s="10"/>
      <c r="IP459" s="10"/>
      <c r="IQ459" s="10"/>
      <c r="IR459" s="10"/>
      <c r="IS459" s="10"/>
      <c r="IT459" s="10"/>
      <c r="IU459" s="10"/>
      <c r="IV459" s="10"/>
      <c r="IW459" s="10"/>
    </row>
    <row r="460" spans="1:257">
      <c r="A460" s="34"/>
      <c r="B460" s="50"/>
      <c r="C460" s="24"/>
      <c r="D460" s="24"/>
      <c r="E460" s="24"/>
      <c r="F460" s="25"/>
      <c r="G460" s="25"/>
      <c r="H460" s="25"/>
      <c r="I460" s="25"/>
      <c r="J460" s="24"/>
      <c r="K460" s="25"/>
      <c r="L460" s="25"/>
      <c r="M460" s="25"/>
      <c r="N460" s="25"/>
      <c r="O460" s="25"/>
      <c r="P460" s="25"/>
      <c r="Q460" s="25"/>
      <c r="R460" s="24"/>
      <c r="S460" s="26">
        <f t="shared" si="31"/>
        <v>0</v>
      </c>
      <c r="T460" s="26">
        <f>COUNTIF($V$4:V460,V460)</f>
        <v>417</v>
      </c>
      <c r="U460" s="26" t="str">
        <f>IF(T460=1,COUNTIF($T$4:T460,1),"")</f>
        <v/>
      </c>
      <c r="V460" s="27" t="str">
        <f t="shared" si="33"/>
        <v/>
      </c>
      <c r="W460" s="27">
        <f t="shared" si="32"/>
        <v>0</v>
      </c>
      <c r="X460" s="28"/>
      <c r="Y460" s="27"/>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c r="EO460" s="10"/>
      <c r="EP460" s="10"/>
      <c r="EQ460" s="10"/>
      <c r="ER460" s="10"/>
      <c r="ES460" s="10"/>
      <c r="ET460" s="10"/>
      <c r="EU460" s="10"/>
      <c r="EV460" s="10"/>
      <c r="EW460" s="10"/>
      <c r="EX460" s="10"/>
      <c r="EY460" s="10"/>
      <c r="EZ460" s="10"/>
      <c r="FA460" s="10"/>
      <c r="FB460" s="10"/>
      <c r="FC460" s="10"/>
      <c r="FD460" s="10"/>
      <c r="FE460" s="10"/>
      <c r="FF460" s="10"/>
      <c r="FG460" s="10"/>
      <c r="FH460" s="10"/>
      <c r="FI460" s="10"/>
      <c r="FJ460" s="10"/>
      <c r="FK460" s="10"/>
      <c r="FL460" s="10"/>
      <c r="FM460" s="10"/>
      <c r="FN460" s="10"/>
      <c r="FO460" s="10"/>
      <c r="FP460" s="10"/>
      <c r="FQ460" s="10"/>
      <c r="FR460" s="10"/>
      <c r="FS460" s="10"/>
      <c r="FT460" s="10"/>
      <c r="FU460" s="10"/>
      <c r="FV460" s="10"/>
      <c r="FW460" s="10"/>
      <c r="FX460" s="10"/>
      <c r="FY460" s="10"/>
      <c r="FZ460" s="10"/>
      <c r="GA460" s="10"/>
      <c r="GB460" s="10"/>
      <c r="GC460" s="10"/>
      <c r="GD460" s="10"/>
      <c r="GE460" s="10"/>
      <c r="GF460" s="10"/>
      <c r="GG460" s="10"/>
      <c r="GH460" s="10"/>
      <c r="GI460" s="10"/>
      <c r="GJ460" s="10"/>
      <c r="GK460" s="10"/>
      <c r="GL460" s="10"/>
      <c r="GM460" s="10"/>
      <c r="GN460" s="10"/>
      <c r="GO460" s="10"/>
      <c r="GP460" s="10"/>
      <c r="GQ460" s="10"/>
      <c r="GR460" s="10"/>
      <c r="GS460" s="10"/>
      <c r="GT460" s="10"/>
      <c r="GU460" s="10"/>
      <c r="GV460" s="10"/>
      <c r="GW460" s="10"/>
      <c r="GX460" s="10"/>
      <c r="GY460" s="10"/>
      <c r="GZ460" s="10"/>
      <c r="HA460" s="10"/>
      <c r="HB460" s="10"/>
      <c r="HC460" s="10"/>
      <c r="HD460" s="10"/>
      <c r="HE460" s="10"/>
      <c r="HF460" s="10"/>
      <c r="HG460" s="10"/>
      <c r="HH460" s="10"/>
      <c r="HI460" s="10"/>
      <c r="HJ460" s="10"/>
      <c r="HK460" s="10"/>
      <c r="HL460" s="10"/>
      <c r="HM460" s="10"/>
      <c r="HN460" s="10"/>
      <c r="HO460" s="10"/>
      <c r="HP460" s="10"/>
      <c r="HQ460" s="10"/>
      <c r="HR460" s="10"/>
      <c r="HS460" s="10"/>
      <c r="HT460" s="10"/>
      <c r="HU460" s="10"/>
      <c r="HV460" s="10"/>
      <c r="HW460" s="10"/>
      <c r="HX460" s="10"/>
      <c r="HY460" s="10"/>
      <c r="HZ460" s="10"/>
      <c r="IA460" s="10"/>
      <c r="IB460" s="10"/>
      <c r="IC460" s="10"/>
      <c r="ID460" s="10"/>
      <c r="IE460" s="10"/>
      <c r="IF460" s="10"/>
      <c r="IG460" s="10"/>
      <c r="IH460" s="10"/>
      <c r="II460" s="10"/>
      <c r="IJ460" s="10"/>
      <c r="IK460" s="10"/>
      <c r="IL460" s="10"/>
      <c r="IM460" s="10"/>
      <c r="IN460" s="10"/>
      <c r="IO460" s="10"/>
      <c r="IP460" s="10"/>
      <c r="IQ460" s="10"/>
      <c r="IR460" s="10"/>
      <c r="IS460" s="10"/>
      <c r="IT460" s="10"/>
      <c r="IU460" s="10"/>
      <c r="IV460" s="10"/>
      <c r="IW460" s="10"/>
    </row>
    <row r="461" spans="1:257">
      <c r="A461" s="34"/>
      <c r="B461" s="50"/>
      <c r="C461" s="45"/>
      <c r="D461" s="24"/>
      <c r="E461" s="24"/>
      <c r="F461" s="25"/>
      <c r="G461" s="46"/>
      <c r="H461" s="46"/>
      <c r="I461" s="46"/>
      <c r="J461" s="24"/>
      <c r="K461" s="25"/>
      <c r="L461" s="25"/>
      <c r="M461" s="25"/>
      <c r="N461" s="25"/>
      <c r="O461" s="25"/>
      <c r="P461" s="25"/>
      <c r="Q461" s="25"/>
      <c r="R461" s="24"/>
      <c r="S461" s="26">
        <f t="shared" si="31"/>
        <v>0</v>
      </c>
      <c r="T461" s="26">
        <f>COUNTIF($V$4:V461,V461)</f>
        <v>418</v>
      </c>
      <c r="U461" s="26" t="str">
        <f>IF(T461=1,COUNTIF($T$4:T461,1),"")</f>
        <v/>
      </c>
      <c r="V461" s="27" t="str">
        <f t="shared" si="33"/>
        <v/>
      </c>
      <c r="W461" s="27">
        <f t="shared" si="32"/>
        <v>0</v>
      </c>
      <c r="X461" s="28"/>
      <c r="Y461" s="27"/>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c r="EW461" s="10"/>
      <c r="EX461" s="10"/>
      <c r="EY461" s="10"/>
      <c r="EZ461" s="10"/>
      <c r="FA461" s="10"/>
      <c r="FB461" s="10"/>
      <c r="FC461" s="10"/>
      <c r="FD461" s="10"/>
      <c r="FE461" s="10"/>
      <c r="FF461" s="10"/>
      <c r="FG461" s="10"/>
      <c r="FH461" s="10"/>
      <c r="FI461" s="10"/>
      <c r="FJ461" s="10"/>
      <c r="FK461" s="10"/>
      <c r="FL461" s="10"/>
      <c r="FM461" s="10"/>
      <c r="FN461" s="10"/>
      <c r="FO461" s="10"/>
      <c r="FP461" s="10"/>
      <c r="FQ461" s="10"/>
      <c r="FR461" s="10"/>
      <c r="FS461" s="10"/>
      <c r="FT461" s="10"/>
      <c r="FU461" s="10"/>
      <c r="FV461" s="10"/>
      <c r="FW461" s="10"/>
      <c r="FX461" s="10"/>
      <c r="FY461" s="10"/>
      <c r="FZ461" s="10"/>
      <c r="GA461" s="10"/>
      <c r="GB461" s="10"/>
      <c r="GC461" s="10"/>
      <c r="GD461" s="10"/>
      <c r="GE461" s="10"/>
      <c r="GF461" s="10"/>
      <c r="GG461" s="10"/>
      <c r="GH461" s="10"/>
      <c r="GI461" s="10"/>
      <c r="GJ461" s="10"/>
      <c r="GK461" s="10"/>
      <c r="GL461" s="10"/>
      <c r="GM461" s="10"/>
      <c r="GN461" s="10"/>
      <c r="GO461" s="10"/>
      <c r="GP461" s="10"/>
      <c r="GQ461" s="10"/>
      <c r="GR461" s="10"/>
      <c r="GS461" s="10"/>
      <c r="GT461" s="10"/>
      <c r="GU461" s="10"/>
      <c r="GV461" s="10"/>
      <c r="GW461" s="10"/>
      <c r="GX461" s="10"/>
      <c r="GY461" s="10"/>
      <c r="GZ461" s="10"/>
      <c r="HA461" s="10"/>
      <c r="HB461" s="10"/>
      <c r="HC461" s="10"/>
      <c r="HD461" s="10"/>
      <c r="HE461" s="10"/>
      <c r="HF461" s="10"/>
      <c r="HG461" s="10"/>
      <c r="HH461" s="10"/>
      <c r="HI461" s="10"/>
      <c r="HJ461" s="10"/>
      <c r="HK461" s="10"/>
      <c r="HL461" s="10"/>
      <c r="HM461" s="10"/>
      <c r="HN461" s="10"/>
      <c r="HO461" s="10"/>
      <c r="HP461" s="10"/>
      <c r="HQ461" s="10"/>
      <c r="HR461" s="10"/>
      <c r="HS461" s="10"/>
      <c r="HT461" s="10"/>
      <c r="HU461" s="10"/>
      <c r="HV461" s="10"/>
      <c r="HW461" s="10"/>
      <c r="HX461" s="10"/>
      <c r="HY461" s="10"/>
      <c r="HZ461" s="10"/>
      <c r="IA461" s="10"/>
      <c r="IB461" s="10"/>
      <c r="IC461" s="10"/>
      <c r="ID461" s="10"/>
      <c r="IE461" s="10"/>
      <c r="IF461" s="10"/>
      <c r="IG461" s="10"/>
      <c r="IH461" s="10"/>
      <c r="II461" s="10"/>
      <c r="IJ461" s="10"/>
      <c r="IK461" s="10"/>
      <c r="IL461" s="10"/>
      <c r="IM461" s="10"/>
      <c r="IN461" s="10"/>
      <c r="IO461" s="10"/>
      <c r="IP461" s="10"/>
      <c r="IQ461" s="10"/>
      <c r="IR461" s="10"/>
      <c r="IS461" s="10"/>
      <c r="IT461" s="10"/>
      <c r="IU461" s="10"/>
      <c r="IV461" s="10"/>
      <c r="IW461" s="10"/>
    </row>
    <row r="462" spans="1:257">
      <c r="A462" s="34"/>
      <c r="B462" s="50"/>
      <c r="C462" s="24"/>
      <c r="D462" s="24"/>
      <c r="E462" s="24"/>
      <c r="F462" s="25"/>
      <c r="G462" s="25"/>
      <c r="H462" s="25"/>
      <c r="I462" s="25"/>
      <c r="J462" s="24"/>
      <c r="K462" s="25"/>
      <c r="L462" s="25"/>
      <c r="M462" s="25"/>
      <c r="N462" s="25"/>
      <c r="O462" s="25"/>
      <c r="P462" s="25"/>
      <c r="Q462" s="25"/>
      <c r="R462" s="24"/>
      <c r="S462" s="26">
        <f t="shared" si="31"/>
        <v>0</v>
      </c>
      <c r="T462" s="26">
        <f>COUNTIF($V$4:V462,V462)</f>
        <v>419</v>
      </c>
      <c r="U462" s="26" t="str">
        <f>IF(T462=1,COUNTIF($T$4:T462,1),"")</f>
        <v/>
      </c>
      <c r="V462" s="27" t="str">
        <f t="shared" si="33"/>
        <v/>
      </c>
      <c r="W462" s="27">
        <f t="shared" si="32"/>
        <v>0</v>
      </c>
      <c r="X462" s="28"/>
      <c r="Y462" s="27"/>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c r="EW462" s="10"/>
      <c r="EX462" s="10"/>
      <c r="EY462" s="10"/>
      <c r="EZ462" s="10"/>
      <c r="FA462" s="10"/>
      <c r="FB462" s="10"/>
      <c r="FC462" s="10"/>
      <c r="FD462" s="10"/>
      <c r="FE462" s="10"/>
      <c r="FF462" s="10"/>
      <c r="FG462" s="10"/>
      <c r="FH462" s="10"/>
      <c r="FI462" s="10"/>
      <c r="FJ462" s="10"/>
      <c r="FK462" s="10"/>
      <c r="FL462" s="10"/>
      <c r="FM462" s="10"/>
      <c r="FN462" s="10"/>
      <c r="FO462" s="10"/>
      <c r="FP462" s="10"/>
      <c r="FQ462" s="10"/>
      <c r="FR462" s="10"/>
      <c r="FS462" s="10"/>
      <c r="FT462" s="10"/>
      <c r="FU462" s="10"/>
      <c r="FV462" s="10"/>
      <c r="FW462" s="10"/>
      <c r="FX462" s="10"/>
      <c r="FY462" s="10"/>
      <c r="FZ462" s="10"/>
      <c r="GA462" s="10"/>
      <c r="GB462" s="10"/>
      <c r="GC462" s="10"/>
      <c r="GD462" s="10"/>
      <c r="GE462" s="10"/>
      <c r="GF462" s="10"/>
      <c r="GG462" s="10"/>
      <c r="GH462" s="10"/>
      <c r="GI462" s="10"/>
      <c r="GJ462" s="10"/>
      <c r="GK462" s="10"/>
      <c r="GL462" s="10"/>
      <c r="GM462" s="10"/>
      <c r="GN462" s="10"/>
      <c r="GO462" s="10"/>
      <c r="GP462" s="10"/>
      <c r="GQ462" s="10"/>
      <c r="GR462" s="10"/>
      <c r="GS462" s="10"/>
      <c r="GT462" s="10"/>
      <c r="GU462" s="10"/>
      <c r="GV462" s="10"/>
      <c r="GW462" s="10"/>
      <c r="GX462" s="10"/>
      <c r="GY462" s="10"/>
      <c r="GZ462" s="10"/>
      <c r="HA462" s="10"/>
      <c r="HB462" s="10"/>
      <c r="HC462" s="10"/>
      <c r="HD462" s="10"/>
      <c r="HE462" s="10"/>
      <c r="HF462" s="10"/>
      <c r="HG462" s="10"/>
      <c r="HH462" s="10"/>
      <c r="HI462" s="10"/>
      <c r="HJ462" s="10"/>
      <c r="HK462" s="10"/>
      <c r="HL462" s="10"/>
      <c r="HM462" s="10"/>
      <c r="HN462" s="10"/>
      <c r="HO462" s="10"/>
      <c r="HP462" s="10"/>
      <c r="HQ462" s="10"/>
      <c r="HR462" s="10"/>
      <c r="HS462" s="10"/>
      <c r="HT462" s="10"/>
      <c r="HU462" s="10"/>
      <c r="HV462" s="10"/>
      <c r="HW462" s="10"/>
      <c r="HX462" s="10"/>
      <c r="HY462" s="10"/>
      <c r="HZ462" s="10"/>
      <c r="IA462" s="10"/>
      <c r="IB462" s="10"/>
      <c r="IC462" s="10"/>
      <c r="ID462" s="10"/>
      <c r="IE462" s="10"/>
      <c r="IF462" s="10"/>
      <c r="IG462" s="10"/>
      <c r="IH462" s="10"/>
      <c r="II462" s="10"/>
      <c r="IJ462" s="10"/>
      <c r="IK462" s="10"/>
      <c r="IL462" s="10"/>
      <c r="IM462" s="10"/>
      <c r="IN462" s="10"/>
      <c r="IO462" s="10"/>
      <c r="IP462" s="10"/>
      <c r="IQ462" s="10"/>
      <c r="IR462" s="10"/>
      <c r="IS462" s="10"/>
      <c r="IT462" s="10"/>
      <c r="IU462" s="10"/>
      <c r="IV462" s="10"/>
      <c r="IW462" s="10"/>
    </row>
    <row r="463" spans="1:257">
      <c r="A463" s="34"/>
      <c r="B463" s="50"/>
      <c r="C463" s="24"/>
      <c r="D463" s="24"/>
      <c r="E463" s="24"/>
      <c r="F463" s="25"/>
      <c r="G463" s="25"/>
      <c r="H463" s="25"/>
      <c r="I463" s="25"/>
      <c r="J463" s="24"/>
      <c r="K463" s="25"/>
      <c r="L463" s="25"/>
      <c r="M463" s="25"/>
      <c r="N463" s="25"/>
      <c r="O463" s="25"/>
      <c r="P463" s="25"/>
      <c r="Q463" s="25"/>
      <c r="R463" s="24"/>
      <c r="S463" s="26">
        <f t="shared" si="31"/>
        <v>0</v>
      </c>
      <c r="T463" s="26">
        <f>COUNTIF($V$4:V463,V463)</f>
        <v>420</v>
      </c>
      <c r="U463" s="26" t="str">
        <f>IF(T463=1,COUNTIF($T$4:T463,1),"")</f>
        <v/>
      </c>
      <c r="V463" s="27" t="str">
        <f t="shared" si="33"/>
        <v/>
      </c>
      <c r="W463" s="27">
        <f t="shared" si="32"/>
        <v>0</v>
      </c>
      <c r="X463" s="28"/>
      <c r="Y463" s="27"/>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c r="EW463" s="10"/>
      <c r="EX463" s="10"/>
      <c r="EY463" s="10"/>
      <c r="EZ463" s="10"/>
      <c r="FA463" s="10"/>
      <c r="FB463" s="10"/>
      <c r="FC463" s="10"/>
      <c r="FD463" s="10"/>
      <c r="FE463" s="10"/>
      <c r="FF463" s="10"/>
      <c r="FG463" s="10"/>
      <c r="FH463" s="10"/>
      <c r="FI463" s="10"/>
      <c r="FJ463" s="10"/>
      <c r="FK463" s="10"/>
      <c r="FL463" s="10"/>
      <c r="FM463" s="10"/>
      <c r="FN463" s="10"/>
      <c r="FO463" s="10"/>
      <c r="FP463" s="10"/>
      <c r="FQ463" s="10"/>
      <c r="FR463" s="10"/>
      <c r="FS463" s="10"/>
      <c r="FT463" s="10"/>
      <c r="FU463" s="10"/>
      <c r="FV463" s="10"/>
      <c r="FW463" s="10"/>
      <c r="FX463" s="10"/>
      <c r="FY463" s="10"/>
      <c r="FZ463" s="10"/>
      <c r="GA463" s="10"/>
      <c r="GB463" s="10"/>
      <c r="GC463" s="10"/>
      <c r="GD463" s="10"/>
      <c r="GE463" s="10"/>
      <c r="GF463" s="10"/>
      <c r="GG463" s="10"/>
      <c r="GH463" s="10"/>
      <c r="GI463" s="10"/>
      <c r="GJ463" s="10"/>
      <c r="GK463" s="10"/>
      <c r="GL463" s="10"/>
      <c r="GM463" s="10"/>
      <c r="GN463" s="10"/>
      <c r="GO463" s="10"/>
      <c r="GP463" s="10"/>
      <c r="GQ463" s="10"/>
      <c r="GR463" s="10"/>
      <c r="GS463" s="10"/>
      <c r="GT463" s="10"/>
      <c r="GU463" s="10"/>
      <c r="GV463" s="10"/>
      <c r="GW463" s="10"/>
      <c r="GX463" s="10"/>
      <c r="GY463" s="10"/>
      <c r="GZ463" s="10"/>
      <c r="HA463" s="10"/>
      <c r="HB463" s="10"/>
      <c r="HC463" s="10"/>
      <c r="HD463" s="10"/>
      <c r="HE463" s="10"/>
      <c r="HF463" s="10"/>
      <c r="HG463" s="10"/>
      <c r="HH463" s="10"/>
      <c r="HI463" s="10"/>
      <c r="HJ463" s="10"/>
      <c r="HK463" s="10"/>
      <c r="HL463" s="10"/>
      <c r="HM463" s="10"/>
      <c r="HN463" s="10"/>
      <c r="HO463" s="10"/>
      <c r="HP463" s="10"/>
      <c r="HQ463" s="10"/>
      <c r="HR463" s="10"/>
      <c r="HS463" s="10"/>
      <c r="HT463" s="10"/>
      <c r="HU463" s="10"/>
      <c r="HV463" s="10"/>
      <c r="HW463" s="10"/>
      <c r="HX463" s="10"/>
      <c r="HY463" s="10"/>
      <c r="HZ463" s="10"/>
      <c r="IA463" s="10"/>
      <c r="IB463" s="10"/>
      <c r="IC463" s="10"/>
      <c r="ID463" s="10"/>
      <c r="IE463" s="10"/>
      <c r="IF463" s="10"/>
      <c r="IG463" s="10"/>
      <c r="IH463" s="10"/>
      <c r="II463" s="10"/>
      <c r="IJ463" s="10"/>
      <c r="IK463" s="10"/>
      <c r="IL463" s="10"/>
      <c r="IM463" s="10"/>
      <c r="IN463" s="10"/>
      <c r="IO463" s="10"/>
      <c r="IP463" s="10"/>
      <c r="IQ463" s="10"/>
      <c r="IR463" s="10"/>
      <c r="IS463" s="10"/>
      <c r="IT463" s="10"/>
      <c r="IU463" s="10"/>
      <c r="IV463" s="10"/>
      <c r="IW463" s="10"/>
    </row>
    <row r="464" spans="1:257">
      <c r="A464" s="34"/>
      <c r="B464" s="50"/>
      <c r="C464" s="24"/>
      <c r="D464" s="24"/>
      <c r="E464" s="24"/>
      <c r="F464" s="25"/>
      <c r="G464" s="25"/>
      <c r="H464" s="25"/>
      <c r="I464" s="25"/>
      <c r="J464" s="24"/>
      <c r="K464" s="25"/>
      <c r="L464" s="25"/>
      <c r="M464" s="25"/>
      <c r="N464" s="25"/>
      <c r="O464" s="25"/>
      <c r="P464" s="25"/>
      <c r="Q464" s="25"/>
      <c r="R464" s="24"/>
      <c r="S464" s="26">
        <f t="shared" si="31"/>
        <v>0</v>
      </c>
      <c r="T464" s="26">
        <f>COUNTIF($V$4:V464,V464)</f>
        <v>421</v>
      </c>
      <c r="U464" s="26" t="str">
        <f>IF(T464=1,COUNTIF($T$4:T464,1),"")</f>
        <v/>
      </c>
      <c r="V464" s="27" t="str">
        <f t="shared" si="33"/>
        <v/>
      </c>
      <c r="W464" s="27">
        <f t="shared" si="32"/>
        <v>0</v>
      </c>
      <c r="X464" s="28"/>
      <c r="Y464" s="27"/>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c r="EP464" s="10"/>
      <c r="EQ464" s="10"/>
      <c r="ER464" s="10"/>
      <c r="ES464" s="10"/>
      <c r="ET464" s="10"/>
      <c r="EU464" s="10"/>
      <c r="EV464" s="10"/>
      <c r="EW464" s="10"/>
      <c r="EX464" s="10"/>
      <c r="EY464" s="10"/>
      <c r="EZ464" s="10"/>
      <c r="FA464" s="10"/>
      <c r="FB464" s="10"/>
      <c r="FC464" s="10"/>
      <c r="FD464" s="10"/>
      <c r="FE464" s="10"/>
      <c r="FF464" s="10"/>
      <c r="FG464" s="10"/>
      <c r="FH464" s="10"/>
      <c r="FI464" s="10"/>
      <c r="FJ464" s="10"/>
      <c r="FK464" s="10"/>
      <c r="FL464" s="10"/>
      <c r="FM464" s="10"/>
      <c r="FN464" s="10"/>
      <c r="FO464" s="10"/>
      <c r="FP464" s="10"/>
      <c r="FQ464" s="10"/>
      <c r="FR464" s="10"/>
      <c r="FS464" s="10"/>
      <c r="FT464" s="10"/>
      <c r="FU464" s="10"/>
      <c r="FV464" s="10"/>
      <c r="FW464" s="10"/>
      <c r="FX464" s="10"/>
      <c r="FY464" s="10"/>
      <c r="FZ464" s="10"/>
      <c r="GA464" s="10"/>
      <c r="GB464" s="10"/>
      <c r="GC464" s="10"/>
      <c r="GD464" s="10"/>
      <c r="GE464" s="10"/>
      <c r="GF464" s="10"/>
      <c r="GG464" s="10"/>
      <c r="GH464" s="10"/>
      <c r="GI464" s="10"/>
      <c r="GJ464" s="10"/>
      <c r="GK464" s="10"/>
      <c r="GL464" s="10"/>
      <c r="GM464" s="10"/>
      <c r="GN464" s="10"/>
      <c r="GO464" s="10"/>
      <c r="GP464" s="10"/>
      <c r="GQ464" s="10"/>
      <c r="GR464" s="10"/>
      <c r="GS464" s="10"/>
      <c r="GT464" s="10"/>
      <c r="GU464" s="10"/>
      <c r="GV464" s="10"/>
      <c r="GW464" s="10"/>
      <c r="GX464" s="10"/>
      <c r="GY464" s="10"/>
      <c r="GZ464" s="10"/>
      <c r="HA464" s="10"/>
      <c r="HB464" s="10"/>
      <c r="HC464" s="10"/>
      <c r="HD464" s="10"/>
      <c r="HE464" s="10"/>
      <c r="HF464" s="10"/>
      <c r="HG464" s="10"/>
      <c r="HH464" s="10"/>
      <c r="HI464" s="10"/>
      <c r="HJ464" s="10"/>
      <c r="HK464" s="10"/>
      <c r="HL464" s="10"/>
      <c r="HM464" s="10"/>
      <c r="HN464" s="10"/>
      <c r="HO464" s="10"/>
      <c r="HP464" s="10"/>
      <c r="HQ464" s="10"/>
      <c r="HR464" s="10"/>
      <c r="HS464" s="10"/>
      <c r="HT464" s="10"/>
      <c r="HU464" s="10"/>
      <c r="HV464" s="10"/>
      <c r="HW464" s="10"/>
      <c r="HX464" s="10"/>
      <c r="HY464" s="10"/>
      <c r="HZ464" s="10"/>
      <c r="IA464" s="10"/>
      <c r="IB464" s="10"/>
      <c r="IC464" s="10"/>
      <c r="ID464" s="10"/>
      <c r="IE464" s="10"/>
      <c r="IF464" s="10"/>
      <c r="IG464" s="10"/>
      <c r="IH464" s="10"/>
      <c r="II464" s="10"/>
      <c r="IJ464" s="10"/>
      <c r="IK464" s="10"/>
      <c r="IL464" s="10"/>
      <c r="IM464" s="10"/>
      <c r="IN464" s="10"/>
      <c r="IO464" s="10"/>
      <c r="IP464" s="10"/>
      <c r="IQ464" s="10"/>
      <c r="IR464" s="10"/>
      <c r="IS464" s="10"/>
      <c r="IT464" s="10"/>
      <c r="IU464" s="10"/>
      <c r="IV464" s="10"/>
      <c r="IW464" s="10"/>
    </row>
    <row r="465" spans="1:257">
      <c r="A465" s="34"/>
      <c r="B465" s="50"/>
      <c r="C465" s="24"/>
      <c r="D465" s="24"/>
      <c r="E465" s="24"/>
      <c r="F465" s="25"/>
      <c r="G465" s="25"/>
      <c r="H465" s="25"/>
      <c r="I465" s="25"/>
      <c r="J465" s="24"/>
      <c r="K465" s="25"/>
      <c r="L465" s="25"/>
      <c r="M465" s="25"/>
      <c r="N465" s="25"/>
      <c r="O465" s="25"/>
      <c r="P465" s="25"/>
      <c r="Q465" s="25"/>
      <c r="R465" s="24"/>
      <c r="S465" s="26">
        <f t="shared" si="31"/>
        <v>0</v>
      </c>
      <c r="T465" s="26">
        <f>COUNTIF($V$4:V465,V465)</f>
        <v>422</v>
      </c>
      <c r="U465" s="26" t="str">
        <f>IF(T465=1,COUNTIF($T$4:T465,1),"")</f>
        <v/>
      </c>
      <c r="V465" s="27" t="str">
        <f t="shared" si="33"/>
        <v/>
      </c>
      <c r="W465" s="27">
        <f t="shared" si="32"/>
        <v>0</v>
      </c>
      <c r="X465" s="28"/>
      <c r="Y465" s="27"/>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c r="EW465" s="10"/>
      <c r="EX465" s="10"/>
      <c r="EY465" s="10"/>
      <c r="EZ465" s="10"/>
      <c r="FA465" s="10"/>
      <c r="FB465" s="10"/>
      <c r="FC465" s="10"/>
      <c r="FD465" s="10"/>
      <c r="FE465" s="10"/>
      <c r="FF465" s="10"/>
      <c r="FG465" s="10"/>
      <c r="FH465" s="10"/>
      <c r="FI465" s="10"/>
      <c r="FJ465" s="10"/>
      <c r="FK465" s="10"/>
      <c r="FL465" s="10"/>
      <c r="FM465" s="10"/>
      <c r="FN465" s="10"/>
      <c r="FO465" s="10"/>
      <c r="FP465" s="10"/>
      <c r="FQ465" s="10"/>
      <c r="FR465" s="10"/>
      <c r="FS465" s="10"/>
      <c r="FT465" s="10"/>
      <c r="FU465" s="10"/>
      <c r="FV465" s="10"/>
      <c r="FW465" s="10"/>
      <c r="FX465" s="10"/>
      <c r="FY465" s="10"/>
      <c r="FZ465" s="10"/>
      <c r="GA465" s="10"/>
      <c r="GB465" s="10"/>
      <c r="GC465" s="10"/>
      <c r="GD465" s="10"/>
      <c r="GE465" s="10"/>
      <c r="GF465" s="10"/>
      <c r="GG465" s="10"/>
      <c r="GH465" s="10"/>
      <c r="GI465" s="10"/>
      <c r="GJ465" s="10"/>
      <c r="GK465" s="10"/>
      <c r="GL465" s="10"/>
      <c r="GM465" s="10"/>
      <c r="GN465" s="10"/>
      <c r="GO465" s="10"/>
      <c r="GP465" s="10"/>
      <c r="GQ465" s="10"/>
      <c r="GR465" s="10"/>
      <c r="GS465" s="10"/>
      <c r="GT465" s="10"/>
      <c r="GU465" s="10"/>
      <c r="GV465" s="10"/>
      <c r="GW465" s="10"/>
      <c r="GX465" s="10"/>
      <c r="GY465" s="10"/>
      <c r="GZ465" s="10"/>
      <c r="HA465" s="10"/>
      <c r="HB465" s="10"/>
      <c r="HC465" s="10"/>
      <c r="HD465" s="10"/>
      <c r="HE465" s="10"/>
      <c r="HF465" s="10"/>
      <c r="HG465" s="10"/>
      <c r="HH465" s="10"/>
      <c r="HI465" s="10"/>
      <c r="HJ465" s="10"/>
      <c r="HK465" s="10"/>
      <c r="HL465" s="10"/>
      <c r="HM465" s="10"/>
      <c r="HN465" s="10"/>
      <c r="HO465" s="10"/>
      <c r="HP465" s="10"/>
      <c r="HQ465" s="10"/>
      <c r="HR465" s="10"/>
      <c r="HS465" s="10"/>
      <c r="HT465" s="10"/>
      <c r="HU465" s="10"/>
      <c r="HV465" s="10"/>
      <c r="HW465" s="10"/>
      <c r="HX465" s="10"/>
      <c r="HY465" s="10"/>
      <c r="HZ465" s="10"/>
      <c r="IA465" s="10"/>
      <c r="IB465" s="10"/>
      <c r="IC465" s="10"/>
      <c r="ID465" s="10"/>
      <c r="IE465" s="10"/>
      <c r="IF465" s="10"/>
      <c r="IG465" s="10"/>
      <c r="IH465" s="10"/>
      <c r="II465" s="10"/>
      <c r="IJ465" s="10"/>
      <c r="IK465" s="10"/>
      <c r="IL465" s="10"/>
      <c r="IM465" s="10"/>
      <c r="IN465" s="10"/>
      <c r="IO465" s="10"/>
      <c r="IP465" s="10"/>
      <c r="IQ465" s="10"/>
      <c r="IR465" s="10"/>
      <c r="IS465" s="10"/>
      <c r="IT465" s="10"/>
      <c r="IU465" s="10"/>
      <c r="IV465" s="10"/>
      <c r="IW465" s="10"/>
    </row>
    <row r="466" spans="1:257">
      <c r="A466" s="34"/>
      <c r="B466" s="50"/>
      <c r="C466" s="24"/>
      <c r="D466" s="24"/>
      <c r="E466" s="24"/>
      <c r="F466" s="25"/>
      <c r="G466" s="25"/>
      <c r="H466" s="25"/>
      <c r="I466" s="25"/>
      <c r="J466" s="24"/>
      <c r="K466" s="25"/>
      <c r="L466" s="25"/>
      <c r="M466" s="25"/>
      <c r="N466" s="25"/>
      <c r="O466" s="25"/>
      <c r="P466" s="25"/>
      <c r="Q466" s="25"/>
      <c r="R466" s="24"/>
      <c r="S466" s="26">
        <f t="shared" si="31"/>
        <v>0</v>
      </c>
      <c r="T466" s="26">
        <f>COUNTIF($V$4:V466,V466)</f>
        <v>423</v>
      </c>
      <c r="U466" s="26" t="str">
        <f>IF(T466=1,COUNTIF($T$4:T466,1),"")</f>
        <v/>
      </c>
      <c r="V466" s="27" t="str">
        <f t="shared" si="33"/>
        <v/>
      </c>
      <c r="W466" s="27">
        <f t="shared" si="32"/>
        <v>0</v>
      </c>
      <c r="X466" s="28"/>
      <c r="Y466" s="27"/>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c r="EV466" s="10"/>
      <c r="EW466" s="10"/>
      <c r="EX466" s="10"/>
      <c r="EY466" s="10"/>
      <c r="EZ466" s="10"/>
      <c r="FA466" s="10"/>
      <c r="FB466" s="10"/>
      <c r="FC466" s="10"/>
      <c r="FD466" s="10"/>
      <c r="FE466" s="10"/>
      <c r="FF466" s="10"/>
      <c r="FG466" s="10"/>
      <c r="FH466" s="10"/>
      <c r="FI466" s="10"/>
      <c r="FJ466" s="10"/>
      <c r="FK466" s="10"/>
      <c r="FL466" s="10"/>
      <c r="FM466" s="10"/>
      <c r="FN466" s="10"/>
      <c r="FO466" s="10"/>
      <c r="FP466" s="10"/>
      <c r="FQ466" s="10"/>
      <c r="FR466" s="10"/>
      <c r="FS466" s="10"/>
      <c r="FT466" s="10"/>
      <c r="FU466" s="10"/>
      <c r="FV466" s="10"/>
      <c r="FW466" s="10"/>
      <c r="FX466" s="10"/>
      <c r="FY466" s="10"/>
      <c r="FZ466" s="10"/>
      <c r="GA466" s="10"/>
      <c r="GB466" s="10"/>
      <c r="GC466" s="10"/>
      <c r="GD466" s="10"/>
      <c r="GE466" s="10"/>
      <c r="GF466" s="10"/>
      <c r="GG466" s="10"/>
      <c r="GH466" s="10"/>
      <c r="GI466" s="10"/>
      <c r="GJ466" s="10"/>
      <c r="GK466" s="10"/>
      <c r="GL466" s="10"/>
      <c r="GM466" s="10"/>
      <c r="GN466" s="10"/>
      <c r="GO466" s="10"/>
      <c r="GP466" s="10"/>
      <c r="GQ466" s="10"/>
      <c r="GR466" s="10"/>
      <c r="GS466" s="10"/>
      <c r="GT466" s="10"/>
      <c r="GU466" s="10"/>
      <c r="GV466" s="10"/>
      <c r="GW466" s="10"/>
      <c r="GX466" s="10"/>
      <c r="GY466" s="10"/>
      <c r="GZ466" s="10"/>
      <c r="HA466" s="10"/>
      <c r="HB466" s="10"/>
      <c r="HC466" s="10"/>
      <c r="HD466" s="10"/>
      <c r="HE466" s="10"/>
      <c r="HF466" s="10"/>
      <c r="HG466" s="10"/>
      <c r="HH466" s="10"/>
      <c r="HI466" s="10"/>
      <c r="HJ466" s="10"/>
      <c r="HK466" s="10"/>
      <c r="HL466" s="10"/>
      <c r="HM466" s="10"/>
      <c r="HN466" s="10"/>
      <c r="HO466" s="10"/>
      <c r="HP466" s="10"/>
      <c r="HQ466" s="10"/>
      <c r="HR466" s="10"/>
      <c r="HS466" s="10"/>
      <c r="HT466" s="10"/>
      <c r="HU466" s="10"/>
      <c r="HV466" s="10"/>
      <c r="HW466" s="10"/>
      <c r="HX466" s="10"/>
      <c r="HY466" s="10"/>
      <c r="HZ466" s="10"/>
      <c r="IA466" s="10"/>
      <c r="IB466" s="10"/>
      <c r="IC466" s="10"/>
      <c r="ID466" s="10"/>
      <c r="IE466" s="10"/>
      <c r="IF466" s="10"/>
      <c r="IG466" s="10"/>
      <c r="IH466" s="10"/>
      <c r="II466" s="10"/>
      <c r="IJ466" s="10"/>
      <c r="IK466" s="10"/>
      <c r="IL466" s="10"/>
      <c r="IM466" s="10"/>
      <c r="IN466" s="10"/>
      <c r="IO466" s="10"/>
      <c r="IP466" s="10"/>
      <c r="IQ466" s="10"/>
      <c r="IR466" s="10"/>
      <c r="IS466" s="10"/>
      <c r="IT466" s="10"/>
      <c r="IU466" s="10"/>
      <c r="IV466" s="10"/>
      <c r="IW466" s="10"/>
    </row>
    <row r="467" spans="1:257">
      <c r="A467" s="34"/>
      <c r="B467" s="50"/>
      <c r="C467" s="24"/>
      <c r="D467" s="24"/>
      <c r="E467" s="24"/>
      <c r="F467" s="25"/>
      <c r="G467" s="25"/>
      <c r="H467" s="25"/>
      <c r="I467" s="25"/>
      <c r="J467" s="24"/>
      <c r="K467" s="25"/>
      <c r="L467" s="25"/>
      <c r="M467" s="25"/>
      <c r="N467" s="25"/>
      <c r="O467" s="25"/>
      <c r="P467" s="25"/>
      <c r="Q467" s="25"/>
      <c r="R467" s="24"/>
      <c r="S467" s="26">
        <f t="shared" si="31"/>
        <v>0</v>
      </c>
      <c r="T467" s="26">
        <f>COUNTIF($V$4:V467,V467)</f>
        <v>424</v>
      </c>
      <c r="U467" s="26" t="str">
        <f>IF(T467=1,COUNTIF($T$4:T467,1),"")</f>
        <v/>
      </c>
      <c r="V467" s="27" t="str">
        <f t="shared" si="33"/>
        <v/>
      </c>
      <c r="W467" s="27">
        <f t="shared" si="32"/>
        <v>0</v>
      </c>
      <c r="X467" s="28"/>
      <c r="Y467" s="27"/>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c r="EW467" s="10"/>
      <c r="EX467" s="10"/>
      <c r="EY467" s="10"/>
      <c r="EZ467" s="10"/>
      <c r="FA467" s="10"/>
      <c r="FB467" s="10"/>
      <c r="FC467" s="10"/>
      <c r="FD467" s="10"/>
      <c r="FE467" s="10"/>
      <c r="FF467" s="10"/>
      <c r="FG467" s="10"/>
      <c r="FH467" s="10"/>
      <c r="FI467" s="10"/>
      <c r="FJ467" s="10"/>
      <c r="FK467" s="10"/>
      <c r="FL467" s="10"/>
      <c r="FM467" s="10"/>
      <c r="FN467" s="10"/>
      <c r="FO467" s="10"/>
      <c r="FP467" s="10"/>
      <c r="FQ467" s="10"/>
      <c r="FR467" s="10"/>
      <c r="FS467" s="10"/>
      <c r="FT467" s="10"/>
      <c r="FU467" s="10"/>
      <c r="FV467" s="10"/>
      <c r="FW467" s="10"/>
      <c r="FX467" s="10"/>
      <c r="FY467" s="10"/>
      <c r="FZ467" s="10"/>
      <c r="GA467" s="10"/>
      <c r="GB467" s="10"/>
      <c r="GC467" s="10"/>
      <c r="GD467" s="10"/>
      <c r="GE467" s="10"/>
      <c r="GF467" s="10"/>
      <c r="GG467" s="10"/>
      <c r="GH467" s="10"/>
      <c r="GI467" s="10"/>
      <c r="GJ467" s="10"/>
      <c r="GK467" s="10"/>
      <c r="GL467" s="10"/>
      <c r="GM467" s="10"/>
      <c r="GN467" s="10"/>
      <c r="GO467" s="10"/>
      <c r="GP467" s="10"/>
      <c r="GQ467" s="10"/>
      <c r="GR467" s="10"/>
      <c r="GS467" s="10"/>
      <c r="GT467" s="10"/>
      <c r="GU467" s="10"/>
      <c r="GV467" s="10"/>
      <c r="GW467" s="10"/>
      <c r="GX467" s="10"/>
      <c r="GY467" s="10"/>
      <c r="GZ467" s="10"/>
      <c r="HA467" s="10"/>
      <c r="HB467" s="10"/>
      <c r="HC467" s="10"/>
      <c r="HD467" s="10"/>
      <c r="HE467" s="10"/>
      <c r="HF467" s="10"/>
      <c r="HG467" s="10"/>
      <c r="HH467" s="10"/>
      <c r="HI467" s="10"/>
      <c r="HJ467" s="10"/>
      <c r="HK467" s="10"/>
      <c r="HL467" s="10"/>
      <c r="HM467" s="10"/>
      <c r="HN467" s="10"/>
      <c r="HO467" s="10"/>
      <c r="HP467" s="10"/>
      <c r="HQ467" s="10"/>
      <c r="HR467" s="10"/>
      <c r="HS467" s="10"/>
      <c r="HT467" s="10"/>
      <c r="HU467" s="10"/>
      <c r="HV467" s="10"/>
      <c r="HW467" s="10"/>
      <c r="HX467" s="10"/>
      <c r="HY467" s="10"/>
      <c r="HZ467" s="10"/>
      <c r="IA467" s="10"/>
      <c r="IB467" s="10"/>
      <c r="IC467" s="10"/>
      <c r="ID467" s="10"/>
      <c r="IE467" s="10"/>
      <c r="IF467" s="10"/>
      <c r="IG467" s="10"/>
      <c r="IH467" s="10"/>
      <c r="II467" s="10"/>
      <c r="IJ467" s="10"/>
      <c r="IK467" s="10"/>
      <c r="IL467" s="10"/>
      <c r="IM467" s="10"/>
      <c r="IN467" s="10"/>
      <c r="IO467" s="10"/>
      <c r="IP467" s="10"/>
      <c r="IQ467" s="10"/>
      <c r="IR467" s="10"/>
      <c r="IS467" s="10"/>
      <c r="IT467" s="10"/>
      <c r="IU467" s="10"/>
      <c r="IV467" s="10"/>
      <c r="IW467" s="10"/>
    </row>
    <row r="468" spans="1:257">
      <c r="A468" s="34"/>
      <c r="B468" s="50"/>
      <c r="C468" s="24"/>
      <c r="D468" s="24"/>
      <c r="E468" s="24"/>
      <c r="F468" s="25"/>
      <c r="G468" s="25"/>
      <c r="H468" s="25"/>
      <c r="I468" s="25"/>
      <c r="J468" s="24"/>
      <c r="K468" s="25"/>
      <c r="L468" s="25"/>
      <c r="M468" s="25"/>
      <c r="N468" s="25"/>
      <c r="O468" s="25"/>
      <c r="P468" s="25"/>
      <c r="Q468" s="25"/>
      <c r="R468" s="24"/>
      <c r="S468" s="26">
        <f t="shared" si="31"/>
        <v>0</v>
      </c>
      <c r="T468" s="26">
        <f>COUNTIF($V$4:V468,V468)</f>
        <v>425</v>
      </c>
      <c r="U468" s="26" t="str">
        <f>IF(T468=1,COUNTIF($T$4:T468,1),"")</f>
        <v/>
      </c>
      <c r="V468" s="27" t="str">
        <f t="shared" si="33"/>
        <v/>
      </c>
      <c r="W468" s="27">
        <f t="shared" si="32"/>
        <v>0</v>
      </c>
      <c r="X468" s="28"/>
      <c r="Y468" s="27"/>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c r="EW468" s="10"/>
      <c r="EX468" s="10"/>
      <c r="EY468" s="10"/>
      <c r="EZ468" s="10"/>
      <c r="FA468" s="10"/>
      <c r="FB468" s="10"/>
      <c r="FC468" s="10"/>
      <c r="FD468" s="10"/>
      <c r="FE468" s="10"/>
      <c r="FF468" s="10"/>
      <c r="FG468" s="10"/>
      <c r="FH468" s="10"/>
      <c r="FI468" s="10"/>
      <c r="FJ468" s="10"/>
      <c r="FK468" s="10"/>
      <c r="FL468" s="10"/>
      <c r="FM468" s="10"/>
      <c r="FN468" s="10"/>
      <c r="FO468" s="10"/>
      <c r="FP468" s="10"/>
      <c r="FQ468" s="10"/>
      <c r="FR468" s="10"/>
      <c r="FS468" s="10"/>
      <c r="FT468" s="10"/>
      <c r="FU468" s="10"/>
      <c r="FV468" s="10"/>
      <c r="FW468" s="10"/>
      <c r="FX468" s="10"/>
      <c r="FY468" s="10"/>
      <c r="FZ468" s="10"/>
      <c r="GA468" s="10"/>
      <c r="GB468" s="10"/>
      <c r="GC468" s="10"/>
      <c r="GD468" s="10"/>
      <c r="GE468" s="10"/>
      <c r="GF468" s="10"/>
      <c r="GG468" s="10"/>
      <c r="GH468" s="10"/>
      <c r="GI468" s="10"/>
      <c r="GJ468" s="10"/>
      <c r="GK468" s="10"/>
      <c r="GL468" s="10"/>
      <c r="GM468" s="10"/>
      <c r="GN468" s="10"/>
      <c r="GO468" s="10"/>
      <c r="GP468" s="10"/>
      <c r="GQ468" s="10"/>
      <c r="GR468" s="10"/>
      <c r="GS468" s="10"/>
      <c r="GT468" s="10"/>
      <c r="GU468" s="10"/>
      <c r="GV468" s="10"/>
      <c r="GW468" s="10"/>
      <c r="GX468" s="10"/>
      <c r="GY468" s="10"/>
      <c r="GZ468" s="10"/>
      <c r="HA468" s="10"/>
      <c r="HB468" s="10"/>
      <c r="HC468" s="10"/>
      <c r="HD468" s="10"/>
      <c r="HE468" s="10"/>
      <c r="HF468" s="10"/>
      <c r="HG468" s="10"/>
      <c r="HH468" s="10"/>
      <c r="HI468" s="10"/>
      <c r="HJ468" s="10"/>
      <c r="HK468" s="10"/>
      <c r="HL468" s="10"/>
      <c r="HM468" s="10"/>
      <c r="HN468" s="10"/>
      <c r="HO468" s="10"/>
      <c r="HP468" s="10"/>
      <c r="HQ468" s="10"/>
      <c r="HR468" s="10"/>
      <c r="HS468" s="10"/>
      <c r="HT468" s="10"/>
      <c r="HU468" s="10"/>
      <c r="HV468" s="10"/>
      <c r="HW468" s="10"/>
      <c r="HX468" s="10"/>
      <c r="HY468" s="10"/>
      <c r="HZ468" s="10"/>
      <c r="IA468" s="10"/>
      <c r="IB468" s="10"/>
      <c r="IC468" s="10"/>
      <c r="ID468" s="10"/>
      <c r="IE468" s="10"/>
      <c r="IF468" s="10"/>
      <c r="IG468" s="10"/>
      <c r="IH468" s="10"/>
      <c r="II468" s="10"/>
      <c r="IJ468" s="10"/>
      <c r="IK468" s="10"/>
      <c r="IL468" s="10"/>
      <c r="IM468" s="10"/>
      <c r="IN468" s="10"/>
      <c r="IO468" s="10"/>
      <c r="IP468" s="10"/>
      <c r="IQ468" s="10"/>
      <c r="IR468" s="10"/>
      <c r="IS468" s="10"/>
      <c r="IT468" s="10"/>
      <c r="IU468" s="10"/>
      <c r="IV468" s="10"/>
      <c r="IW468" s="10"/>
    </row>
    <row r="469" spans="1:257">
      <c r="A469" s="34"/>
      <c r="B469" s="50"/>
      <c r="C469" s="24"/>
      <c r="D469" s="24"/>
      <c r="E469" s="24"/>
      <c r="F469" s="25"/>
      <c r="G469" s="25"/>
      <c r="H469" s="25"/>
      <c r="I469" s="25"/>
      <c r="J469" s="24"/>
      <c r="K469" s="25"/>
      <c r="L469" s="25"/>
      <c r="M469" s="25"/>
      <c r="N469" s="25"/>
      <c r="O469" s="25"/>
      <c r="P469" s="25"/>
      <c r="Q469" s="25"/>
      <c r="R469" s="24"/>
      <c r="S469" s="26">
        <f t="shared" si="31"/>
        <v>0</v>
      </c>
      <c r="T469" s="26">
        <f>COUNTIF($V$4:V469,V469)</f>
        <v>426</v>
      </c>
      <c r="U469" s="26" t="str">
        <f>IF(T469=1,COUNTIF($T$4:T469,1),"")</f>
        <v/>
      </c>
      <c r="V469" s="27" t="str">
        <f t="shared" si="33"/>
        <v/>
      </c>
      <c r="W469" s="27">
        <f t="shared" si="32"/>
        <v>0</v>
      </c>
      <c r="X469" s="28"/>
      <c r="Y469" s="27"/>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c r="EW469" s="10"/>
      <c r="EX469" s="10"/>
      <c r="EY469" s="10"/>
      <c r="EZ469" s="10"/>
      <c r="FA469" s="10"/>
      <c r="FB469" s="10"/>
      <c r="FC469" s="10"/>
      <c r="FD469" s="10"/>
      <c r="FE469" s="10"/>
      <c r="FF469" s="10"/>
      <c r="FG469" s="10"/>
      <c r="FH469" s="10"/>
      <c r="FI469" s="10"/>
      <c r="FJ469" s="10"/>
      <c r="FK469" s="10"/>
      <c r="FL469" s="10"/>
      <c r="FM469" s="10"/>
      <c r="FN469" s="10"/>
      <c r="FO469" s="10"/>
      <c r="FP469" s="10"/>
      <c r="FQ469" s="10"/>
      <c r="FR469" s="10"/>
      <c r="FS469" s="10"/>
      <c r="FT469" s="10"/>
      <c r="FU469" s="10"/>
      <c r="FV469" s="10"/>
      <c r="FW469" s="10"/>
      <c r="FX469" s="10"/>
      <c r="FY469" s="10"/>
      <c r="FZ469" s="10"/>
      <c r="GA469" s="10"/>
      <c r="GB469" s="10"/>
      <c r="GC469" s="10"/>
      <c r="GD469" s="10"/>
      <c r="GE469" s="10"/>
      <c r="GF469" s="10"/>
      <c r="GG469" s="10"/>
      <c r="GH469" s="10"/>
      <c r="GI469" s="10"/>
      <c r="GJ469" s="10"/>
      <c r="GK469" s="10"/>
      <c r="GL469" s="10"/>
      <c r="GM469" s="10"/>
      <c r="GN469" s="10"/>
      <c r="GO469" s="10"/>
      <c r="GP469" s="10"/>
      <c r="GQ469" s="10"/>
      <c r="GR469" s="10"/>
      <c r="GS469" s="10"/>
      <c r="GT469" s="10"/>
      <c r="GU469" s="10"/>
      <c r="GV469" s="10"/>
      <c r="GW469" s="10"/>
      <c r="GX469" s="10"/>
      <c r="GY469" s="10"/>
      <c r="GZ469" s="10"/>
      <c r="HA469" s="10"/>
      <c r="HB469" s="10"/>
      <c r="HC469" s="10"/>
      <c r="HD469" s="10"/>
      <c r="HE469" s="10"/>
      <c r="HF469" s="10"/>
      <c r="HG469" s="10"/>
      <c r="HH469" s="10"/>
      <c r="HI469" s="10"/>
      <c r="HJ469" s="10"/>
      <c r="HK469" s="10"/>
      <c r="HL469" s="10"/>
      <c r="HM469" s="10"/>
      <c r="HN469" s="10"/>
      <c r="HO469" s="10"/>
      <c r="HP469" s="10"/>
      <c r="HQ469" s="10"/>
      <c r="HR469" s="10"/>
      <c r="HS469" s="10"/>
      <c r="HT469" s="10"/>
      <c r="HU469" s="10"/>
      <c r="HV469" s="10"/>
      <c r="HW469" s="10"/>
      <c r="HX469" s="10"/>
      <c r="HY469" s="10"/>
      <c r="HZ469" s="10"/>
      <c r="IA469" s="10"/>
      <c r="IB469" s="10"/>
      <c r="IC469" s="10"/>
      <c r="ID469" s="10"/>
      <c r="IE469" s="10"/>
      <c r="IF469" s="10"/>
      <c r="IG469" s="10"/>
      <c r="IH469" s="10"/>
      <c r="II469" s="10"/>
      <c r="IJ469" s="10"/>
      <c r="IK469" s="10"/>
      <c r="IL469" s="10"/>
      <c r="IM469" s="10"/>
      <c r="IN469" s="10"/>
      <c r="IO469" s="10"/>
      <c r="IP469" s="10"/>
      <c r="IQ469" s="10"/>
      <c r="IR469" s="10"/>
      <c r="IS469" s="10"/>
      <c r="IT469" s="10"/>
      <c r="IU469" s="10"/>
      <c r="IV469" s="10"/>
      <c r="IW469" s="10"/>
    </row>
    <row r="470" spans="1:257">
      <c r="A470" s="34"/>
      <c r="B470" s="50"/>
      <c r="C470" s="24"/>
      <c r="D470" s="24"/>
      <c r="E470" s="24"/>
      <c r="F470" s="25"/>
      <c r="G470" s="25"/>
      <c r="H470" s="25"/>
      <c r="I470" s="25"/>
      <c r="J470" s="25"/>
      <c r="K470" s="25"/>
      <c r="L470" s="25"/>
      <c r="M470" s="25"/>
      <c r="N470" s="25"/>
      <c r="O470" s="25"/>
      <c r="P470" s="25"/>
      <c r="Q470" s="25"/>
      <c r="R470" s="24"/>
      <c r="S470" s="26">
        <f t="shared" si="31"/>
        <v>0</v>
      </c>
      <c r="T470" s="26">
        <f>COUNTIF($V$4:V470,V470)</f>
        <v>427</v>
      </c>
      <c r="U470" s="26" t="str">
        <f>IF(T470=1,COUNTIF($T$4:T470,1),"")</f>
        <v/>
      </c>
      <c r="V470" s="27" t="str">
        <f t="shared" si="33"/>
        <v/>
      </c>
      <c r="W470" s="27">
        <f t="shared" si="32"/>
        <v>0</v>
      </c>
      <c r="X470" s="28"/>
      <c r="Y470" s="27"/>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c r="EW470" s="10"/>
      <c r="EX470" s="10"/>
      <c r="EY470" s="10"/>
      <c r="EZ470" s="10"/>
      <c r="FA470" s="10"/>
      <c r="FB470" s="10"/>
      <c r="FC470" s="10"/>
      <c r="FD470" s="10"/>
      <c r="FE470" s="10"/>
      <c r="FF470" s="10"/>
      <c r="FG470" s="10"/>
      <c r="FH470" s="10"/>
      <c r="FI470" s="10"/>
      <c r="FJ470" s="10"/>
      <c r="FK470" s="10"/>
      <c r="FL470" s="10"/>
      <c r="FM470" s="10"/>
      <c r="FN470" s="10"/>
      <c r="FO470" s="10"/>
      <c r="FP470" s="10"/>
      <c r="FQ470" s="10"/>
      <c r="FR470" s="10"/>
      <c r="FS470" s="10"/>
      <c r="FT470" s="10"/>
      <c r="FU470" s="10"/>
      <c r="FV470" s="10"/>
      <c r="FW470" s="10"/>
      <c r="FX470" s="10"/>
      <c r="FY470" s="10"/>
      <c r="FZ470" s="10"/>
      <c r="GA470" s="10"/>
      <c r="GB470" s="10"/>
      <c r="GC470" s="10"/>
      <c r="GD470" s="10"/>
      <c r="GE470" s="10"/>
      <c r="GF470" s="10"/>
      <c r="GG470" s="10"/>
      <c r="GH470" s="10"/>
      <c r="GI470" s="10"/>
      <c r="GJ470" s="10"/>
      <c r="GK470" s="10"/>
      <c r="GL470" s="10"/>
      <c r="GM470" s="10"/>
      <c r="GN470" s="10"/>
      <c r="GO470" s="10"/>
      <c r="GP470" s="10"/>
      <c r="GQ470" s="10"/>
      <c r="GR470" s="10"/>
      <c r="GS470" s="10"/>
      <c r="GT470" s="10"/>
      <c r="GU470" s="10"/>
      <c r="GV470" s="10"/>
      <c r="GW470" s="10"/>
      <c r="GX470" s="10"/>
      <c r="GY470" s="10"/>
      <c r="GZ470" s="10"/>
      <c r="HA470" s="10"/>
      <c r="HB470" s="10"/>
      <c r="HC470" s="10"/>
      <c r="HD470" s="10"/>
      <c r="HE470" s="10"/>
      <c r="HF470" s="10"/>
      <c r="HG470" s="10"/>
      <c r="HH470" s="10"/>
      <c r="HI470" s="10"/>
      <c r="HJ470" s="10"/>
      <c r="HK470" s="10"/>
      <c r="HL470" s="10"/>
      <c r="HM470" s="10"/>
      <c r="HN470" s="10"/>
      <c r="HO470" s="10"/>
      <c r="HP470" s="10"/>
      <c r="HQ470" s="10"/>
      <c r="HR470" s="10"/>
      <c r="HS470" s="10"/>
      <c r="HT470" s="10"/>
      <c r="HU470" s="10"/>
      <c r="HV470" s="10"/>
      <c r="HW470" s="10"/>
      <c r="HX470" s="10"/>
      <c r="HY470" s="10"/>
      <c r="HZ470" s="10"/>
      <c r="IA470" s="10"/>
      <c r="IB470" s="10"/>
      <c r="IC470" s="10"/>
      <c r="ID470" s="10"/>
      <c r="IE470" s="10"/>
      <c r="IF470" s="10"/>
      <c r="IG470" s="10"/>
      <c r="IH470" s="10"/>
      <c r="II470" s="10"/>
      <c r="IJ470" s="10"/>
      <c r="IK470" s="10"/>
      <c r="IL470" s="10"/>
      <c r="IM470" s="10"/>
      <c r="IN470" s="10"/>
      <c r="IO470" s="10"/>
      <c r="IP470" s="10"/>
      <c r="IQ470" s="10"/>
      <c r="IR470" s="10"/>
      <c r="IS470" s="10"/>
      <c r="IT470" s="10"/>
      <c r="IU470" s="10"/>
      <c r="IV470" s="10"/>
      <c r="IW470" s="10"/>
    </row>
    <row r="471" spans="1:257">
      <c r="A471" s="34"/>
      <c r="B471" s="50"/>
      <c r="C471" s="24"/>
      <c r="D471" s="24"/>
      <c r="E471" s="24"/>
      <c r="F471" s="25"/>
      <c r="G471" s="25"/>
      <c r="H471" s="25"/>
      <c r="I471" s="25"/>
      <c r="J471" s="25"/>
      <c r="K471" s="25"/>
      <c r="L471" s="25"/>
      <c r="M471" s="25"/>
      <c r="N471" s="25"/>
      <c r="O471" s="25"/>
      <c r="P471" s="25"/>
      <c r="Q471" s="25"/>
      <c r="R471" s="24"/>
      <c r="S471" s="26">
        <f t="shared" si="31"/>
        <v>0</v>
      </c>
      <c r="T471" s="26">
        <f>COUNTIF($V$4:V471,V471)</f>
        <v>428</v>
      </c>
      <c r="U471" s="26" t="str">
        <f>IF(T471=1,COUNTIF($T$4:T471,1),"")</f>
        <v/>
      </c>
      <c r="V471" s="27" t="str">
        <f t="shared" si="33"/>
        <v/>
      </c>
      <c r="W471" s="27">
        <f t="shared" si="32"/>
        <v>0</v>
      </c>
      <c r="X471" s="28"/>
      <c r="Y471" s="27"/>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c r="EW471" s="10"/>
      <c r="EX471" s="10"/>
      <c r="EY471" s="10"/>
      <c r="EZ471" s="10"/>
      <c r="FA471" s="10"/>
      <c r="FB471" s="10"/>
      <c r="FC471" s="10"/>
      <c r="FD471" s="10"/>
      <c r="FE471" s="10"/>
      <c r="FF471" s="10"/>
      <c r="FG471" s="10"/>
      <c r="FH471" s="10"/>
      <c r="FI471" s="10"/>
      <c r="FJ471" s="10"/>
      <c r="FK471" s="10"/>
      <c r="FL471" s="10"/>
      <c r="FM471" s="10"/>
      <c r="FN471" s="10"/>
      <c r="FO471" s="10"/>
      <c r="FP471" s="10"/>
      <c r="FQ471" s="10"/>
      <c r="FR471" s="10"/>
      <c r="FS471" s="10"/>
      <c r="FT471" s="10"/>
      <c r="FU471" s="10"/>
      <c r="FV471" s="10"/>
      <c r="FW471" s="10"/>
      <c r="FX471" s="10"/>
      <c r="FY471" s="10"/>
      <c r="FZ471" s="10"/>
      <c r="GA471" s="10"/>
      <c r="GB471" s="10"/>
      <c r="GC471" s="10"/>
      <c r="GD471" s="10"/>
      <c r="GE471" s="10"/>
      <c r="GF471" s="10"/>
      <c r="GG471" s="10"/>
      <c r="GH471" s="10"/>
      <c r="GI471" s="10"/>
      <c r="GJ471" s="10"/>
      <c r="GK471" s="10"/>
      <c r="GL471" s="10"/>
      <c r="GM471" s="10"/>
      <c r="GN471" s="10"/>
      <c r="GO471" s="10"/>
      <c r="GP471" s="10"/>
      <c r="GQ471" s="10"/>
      <c r="GR471" s="10"/>
      <c r="GS471" s="10"/>
      <c r="GT471" s="10"/>
      <c r="GU471" s="10"/>
      <c r="GV471" s="10"/>
      <c r="GW471" s="10"/>
      <c r="GX471" s="10"/>
      <c r="GY471" s="10"/>
      <c r="GZ471" s="10"/>
      <c r="HA471" s="10"/>
      <c r="HB471" s="10"/>
      <c r="HC471" s="10"/>
      <c r="HD471" s="10"/>
      <c r="HE471" s="10"/>
      <c r="HF471" s="10"/>
      <c r="HG471" s="10"/>
      <c r="HH471" s="10"/>
      <c r="HI471" s="10"/>
      <c r="HJ471" s="10"/>
      <c r="HK471" s="10"/>
      <c r="HL471" s="10"/>
      <c r="HM471" s="10"/>
      <c r="HN471" s="10"/>
      <c r="HO471" s="10"/>
      <c r="HP471" s="10"/>
      <c r="HQ471" s="10"/>
      <c r="HR471" s="10"/>
      <c r="HS471" s="10"/>
      <c r="HT471" s="10"/>
      <c r="HU471" s="10"/>
      <c r="HV471" s="10"/>
      <c r="HW471" s="10"/>
      <c r="HX471" s="10"/>
      <c r="HY471" s="10"/>
      <c r="HZ471" s="10"/>
      <c r="IA471" s="10"/>
      <c r="IB471" s="10"/>
      <c r="IC471" s="10"/>
      <c r="ID471" s="10"/>
      <c r="IE471" s="10"/>
      <c r="IF471" s="10"/>
      <c r="IG471" s="10"/>
      <c r="IH471" s="10"/>
      <c r="II471" s="10"/>
      <c r="IJ471" s="10"/>
      <c r="IK471" s="10"/>
      <c r="IL471" s="10"/>
      <c r="IM471" s="10"/>
      <c r="IN471" s="10"/>
      <c r="IO471" s="10"/>
      <c r="IP471" s="10"/>
      <c r="IQ471" s="10"/>
      <c r="IR471" s="10"/>
      <c r="IS471" s="10"/>
      <c r="IT471" s="10"/>
      <c r="IU471" s="10"/>
      <c r="IV471" s="10"/>
      <c r="IW471" s="10"/>
    </row>
    <row r="472" spans="1:257">
      <c r="A472" s="34"/>
      <c r="B472" s="50"/>
      <c r="C472" s="24"/>
      <c r="D472" s="24"/>
      <c r="E472" s="24"/>
      <c r="F472" s="25"/>
      <c r="G472" s="25"/>
      <c r="H472" s="25"/>
      <c r="I472" s="25"/>
      <c r="J472" s="24"/>
      <c r="K472" s="25"/>
      <c r="L472" s="25"/>
      <c r="M472" s="25"/>
      <c r="N472" s="25"/>
      <c r="O472" s="25"/>
      <c r="P472" s="25"/>
      <c r="Q472" s="25"/>
      <c r="R472" s="24"/>
      <c r="S472" s="26">
        <f t="shared" si="31"/>
        <v>0</v>
      </c>
      <c r="T472" s="26">
        <f>COUNTIF($V$4:V472,V472)</f>
        <v>429</v>
      </c>
      <c r="U472" s="26" t="str">
        <f>IF(T472=1,COUNTIF($T$4:T472,1),"")</f>
        <v/>
      </c>
      <c r="V472" s="27" t="str">
        <f t="shared" si="33"/>
        <v/>
      </c>
      <c r="W472" s="27">
        <f t="shared" si="32"/>
        <v>0</v>
      </c>
      <c r="X472" s="28"/>
      <c r="Y472" s="27"/>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c r="EW472" s="10"/>
      <c r="EX472" s="10"/>
      <c r="EY472" s="10"/>
      <c r="EZ472" s="10"/>
      <c r="FA472" s="10"/>
      <c r="FB472" s="10"/>
      <c r="FC472" s="10"/>
      <c r="FD472" s="10"/>
      <c r="FE472" s="10"/>
      <c r="FF472" s="10"/>
      <c r="FG472" s="10"/>
      <c r="FH472" s="10"/>
      <c r="FI472" s="10"/>
      <c r="FJ472" s="10"/>
      <c r="FK472" s="10"/>
      <c r="FL472" s="10"/>
      <c r="FM472" s="10"/>
      <c r="FN472" s="10"/>
      <c r="FO472" s="10"/>
      <c r="FP472" s="10"/>
      <c r="FQ472" s="10"/>
      <c r="FR472" s="10"/>
      <c r="FS472" s="10"/>
      <c r="FT472" s="10"/>
      <c r="FU472" s="10"/>
      <c r="FV472" s="10"/>
      <c r="FW472" s="10"/>
      <c r="FX472" s="10"/>
      <c r="FY472" s="10"/>
      <c r="FZ472" s="10"/>
      <c r="GA472" s="10"/>
      <c r="GB472" s="10"/>
      <c r="GC472" s="10"/>
      <c r="GD472" s="10"/>
      <c r="GE472" s="10"/>
      <c r="GF472" s="10"/>
      <c r="GG472" s="10"/>
      <c r="GH472" s="10"/>
      <c r="GI472" s="10"/>
      <c r="GJ472" s="10"/>
      <c r="GK472" s="10"/>
      <c r="GL472" s="10"/>
      <c r="GM472" s="10"/>
      <c r="GN472" s="10"/>
      <c r="GO472" s="10"/>
      <c r="GP472" s="10"/>
      <c r="GQ472" s="10"/>
      <c r="GR472" s="10"/>
      <c r="GS472" s="10"/>
      <c r="GT472" s="10"/>
      <c r="GU472" s="10"/>
      <c r="GV472" s="10"/>
      <c r="GW472" s="10"/>
      <c r="GX472" s="10"/>
      <c r="GY472" s="10"/>
      <c r="GZ472" s="10"/>
      <c r="HA472" s="10"/>
      <c r="HB472" s="10"/>
      <c r="HC472" s="10"/>
      <c r="HD472" s="10"/>
      <c r="HE472" s="10"/>
      <c r="HF472" s="10"/>
      <c r="HG472" s="10"/>
      <c r="HH472" s="10"/>
      <c r="HI472" s="10"/>
      <c r="HJ472" s="10"/>
      <c r="HK472" s="10"/>
      <c r="HL472" s="10"/>
      <c r="HM472" s="10"/>
      <c r="HN472" s="10"/>
      <c r="HO472" s="10"/>
      <c r="HP472" s="10"/>
      <c r="HQ472" s="10"/>
      <c r="HR472" s="10"/>
      <c r="HS472" s="10"/>
      <c r="HT472" s="10"/>
      <c r="HU472" s="10"/>
      <c r="HV472" s="10"/>
      <c r="HW472" s="10"/>
      <c r="HX472" s="10"/>
      <c r="HY472" s="10"/>
      <c r="HZ472" s="10"/>
      <c r="IA472" s="10"/>
      <c r="IB472" s="10"/>
      <c r="IC472" s="10"/>
      <c r="ID472" s="10"/>
      <c r="IE472" s="10"/>
      <c r="IF472" s="10"/>
      <c r="IG472" s="10"/>
      <c r="IH472" s="10"/>
      <c r="II472" s="10"/>
      <c r="IJ472" s="10"/>
      <c r="IK472" s="10"/>
      <c r="IL472" s="10"/>
      <c r="IM472" s="10"/>
      <c r="IN472" s="10"/>
      <c r="IO472" s="10"/>
      <c r="IP472" s="10"/>
      <c r="IQ472" s="10"/>
      <c r="IR472" s="10"/>
      <c r="IS472" s="10"/>
      <c r="IT472" s="10"/>
      <c r="IU472" s="10"/>
      <c r="IV472" s="10"/>
      <c r="IW472" s="10"/>
    </row>
    <row r="473" spans="1:257">
      <c r="A473" s="34"/>
      <c r="B473" s="50"/>
      <c r="C473" s="24"/>
      <c r="D473" s="24"/>
      <c r="E473" s="24"/>
      <c r="F473" s="25"/>
      <c r="G473" s="25"/>
      <c r="H473" s="25"/>
      <c r="I473" s="25"/>
      <c r="J473" s="24"/>
      <c r="K473" s="25"/>
      <c r="L473" s="25"/>
      <c r="M473" s="25"/>
      <c r="N473" s="25"/>
      <c r="O473" s="25"/>
      <c r="P473" s="25"/>
      <c r="Q473" s="25"/>
      <c r="R473" s="24"/>
      <c r="S473" s="26">
        <f t="shared" si="31"/>
        <v>0</v>
      </c>
      <c r="T473" s="26">
        <f>COUNTIF($V$4:V473,V473)</f>
        <v>430</v>
      </c>
      <c r="U473" s="26" t="str">
        <f>IF(T473=1,COUNTIF($T$4:T473,1),"")</f>
        <v/>
      </c>
      <c r="V473" s="27" t="str">
        <f t="shared" si="33"/>
        <v/>
      </c>
      <c r="W473" s="27">
        <f t="shared" si="32"/>
        <v>0</v>
      </c>
      <c r="X473" s="28"/>
      <c r="Y473" s="27"/>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0"/>
      <c r="DJ473" s="10"/>
      <c r="DK473" s="10"/>
      <c r="DL473" s="10"/>
      <c r="DM473" s="10"/>
      <c r="DN473" s="10"/>
      <c r="DO473" s="10"/>
      <c r="DP473" s="10"/>
      <c r="DQ473" s="10"/>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c r="EO473" s="10"/>
      <c r="EP473" s="10"/>
      <c r="EQ473" s="10"/>
      <c r="ER473" s="10"/>
      <c r="ES473" s="10"/>
      <c r="ET473" s="10"/>
      <c r="EU473" s="10"/>
      <c r="EV473" s="10"/>
      <c r="EW473" s="10"/>
      <c r="EX473" s="10"/>
      <c r="EY473" s="10"/>
      <c r="EZ473" s="10"/>
      <c r="FA473" s="10"/>
      <c r="FB473" s="10"/>
      <c r="FC473" s="10"/>
      <c r="FD473" s="10"/>
      <c r="FE473" s="10"/>
      <c r="FF473" s="10"/>
      <c r="FG473" s="10"/>
      <c r="FH473" s="10"/>
      <c r="FI473" s="10"/>
      <c r="FJ473" s="10"/>
      <c r="FK473" s="10"/>
      <c r="FL473" s="10"/>
      <c r="FM473" s="10"/>
      <c r="FN473" s="10"/>
      <c r="FO473" s="10"/>
      <c r="FP473" s="10"/>
      <c r="FQ473" s="10"/>
      <c r="FR473" s="10"/>
      <c r="FS473" s="10"/>
      <c r="FT473" s="10"/>
      <c r="FU473" s="10"/>
      <c r="FV473" s="10"/>
      <c r="FW473" s="10"/>
      <c r="FX473" s="10"/>
      <c r="FY473" s="10"/>
      <c r="FZ473" s="10"/>
      <c r="GA473" s="10"/>
      <c r="GB473" s="10"/>
      <c r="GC473" s="10"/>
      <c r="GD473" s="10"/>
      <c r="GE473" s="10"/>
      <c r="GF473" s="10"/>
      <c r="GG473" s="10"/>
      <c r="GH473" s="10"/>
      <c r="GI473" s="10"/>
      <c r="GJ473" s="10"/>
      <c r="GK473" s="10"/>
      <c r="GL473" s="10"/>
      <c r="GM473" s="10"/>
      <c r="GN473" s="10"/>
      <c r="GO473" s="10"/>
      <c r="GP473" s="10"/>
      <c r="GQ473" s="10"/>
      <c r="GR473" s="10"/>
      <c r="GS473" s="10"/>
      <c r="GT473" s="10"/>
      <c r="GU473" s="10"/>
      <c r="GV473" s="10"/>
      <c r="GW473" s="10"/>
      <c r="GX473" s="10"/>
      <c r="GY473" s="10"/>
      <c r="GZ473" s="10"/>
      <c r="HA473" s="10"/>
      <c r="HB473" s="10"/>
      <c r="HC473" s="10"/>
      <c r="HD473" s="10"/>
      <c r="HE473" s="10"/>
      <c r="HF473" s="10"/>
      <c r="HG473" s="10"/>
      <c r="HH473" s="10"/>
      <c r="HI473" s="10"/>
      <c r="HJ473" s="10"/>
      <c r="HK473" s="10"/>
      <c r="HL473" s="10"/>
      <c r="HM473" s="10"/>
      <c r="HN473" s="10"/>
      <c r="HO473" s="10"/>
      <c r="HP473" s="10"/>
      <c r="HQ473" s="10"/>
      <c r="HR473" s="10"/>
      <c r="HS473" s="10"/>
      <c r="HT473" s="10"/>
      <c r="HU473" s="10"/>
      <c r="HV473" s="10"/>
      <c r="HW473" s="10"/>
      <c r="HX473" s="10"/>
      <c r="HY473" s="10"/>
      <c r="HZ473" s="10"/>
      <c r="IA473" s="10"/>
      <c r="IB473" s="10"/>
      <c r="IC473" s="10"/>
      <c r="ID473" s="10"/>
      <c r="IE473" s="10"/>
      <c r="IF473" s="10"/>
      <c r="IG473" s="10"/>
      <c r="IH473" s="10"/>
      <c r="II473" s="10"/>
      <c r="IJ473" s="10"/>
      <c r="IK473" s="10"/>
      <c r="IL473" s="10"/>
      <c r="IM473" s="10"/>
      <c r="IN473" s="10"/>
      <c r="IO473" s="10"/>
      <c r="IP473" s="10"/>
      <c r="IQ473" s="10"/>
      <c r="IR473" s="10"/>
      <c r="IS473" s="10"/>
      <c r="IT473" s="10"/>
      <c r="IU473" s="10"/>
      <c r="IV473" s="10"/>
      <c r="IW473" s="10"/>
    </row>
    <row r="474" spans="1:257">
      <c r="A474" s="34"/>
      <c r="B474" s="50"/>
      <c r="C474" s="24"/>
      <c r="D474" s="24"/>
      <c r="E474" s="24"/>
      <c r="F474" s="25"/>
      <c r="G474" s="25"/>
      <c r="H474" s="25"/>
      <c r="I474" s="25"/>
      <c r="J474" s="24"/>
      <c r="K474" s="25"/>
      <c r="L474" s="25"/>
      <c r="M474" s="25"/>
      <c r="N474" s="25"/>
      <c r="O474" s="25"/>
      <c r="P474" s="25"/>
      <c r="Q474" s="25"/>
      <c r="R474" s="24"/>
      <c r="S474" s="26">
        <f t="shared" si="31"/>
        <v>0</v>
      </c>
      <c r="T474" s="26">
        <f>COUNTIF($V$4:V474,V474)</f>
        <v>431</v>
      </c>
      <c r="U474" s="26" t="str">
        <f>IF(T474=1,COUNTIF($T$4:T474,1),"")</f>
        <v/>
      </c>
      <c r="V474" s="27" t="str">
        <f t="shared" si="33"/>
        <v/>
      </c>
      <c r="W474" s="27">
        <f t="shared" si="32"/>
        <v>0</v>
      </c>
      <c r="X474" s="28"/>
      <c r="Y474" s="27"/>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c r="EW474" s="10"/>
      <c r="EX474" s="10"/>
      <c r="EY474" s="10"/>
      <c r="EZ474" s="10"/>
      <c r="FA474" s="10"/>
      <c r="FB474" s="10"/>
      <c r="FC474" s="10"/>
      <c r="FD474" s="10"/>
      <c r="FE474" s="10"/>
      <c r="FF474" s="10"/>
      <c r="FG474" s="10"/>
      <c r="FH474" s="10"/>
      <c r="FI474" s="10"/>
      <c r="FJ474" s="10"/>
      <c r="FK474" s="10"/>
      <c r="FL474" s="10"/>
      <c r="FM474" s="10"/>
      <c r="FN474" s="10"/>
      <c r="FO474" s="10"/>
      <c r="FP474" s="10"/>
      <c r="FQ474" s="10"/>
      <c r="FR474" s="10"/>
      <c r="FS474" s="10"/>
      <c r="FT474" s="10"/>
      <c r="FU474" s="10"/>
      <c r="FV474" s="10"/>
      <c r="FW474" s="10"/>
      <c r="FX474" s="10"/>
      <c r="FY474" s="10"/>
      <c r="FZ474" s="10"/>
      <c r="GA474" s="10"/>
      <c r="GB474" s="10"/>
      <c r="GC474" s="10"/>
      <c r="GD474" s="10"/>
      <c r="GE474" s="10"/>
      <c r="GF474" s="10"/>
      <c r="GG474" s="10"/>
      <c r="GH474" s="10"/>
      <c r="GI474" s="10"/>
      <c r="GJ474" s="10"/>
      <c r="GK474" s="10"/>
      <c r="GL474" s="10"/>
      <c r="GM474" s="10"/>
      <c r="GN474" s="10"/>
      <c r="GO474" s="10"/>
      <c r="GP474" s="10"/>
      <c r="GQ474" s="10"/>
      <c r="GR474" s="10"/>
      <c r="GS474" s="10"/>
      <c r="GT474" s="10"/>
      <c r="GU474" s="10"/>
      <c r="GV474" s="10"/>
      <c r="GW474" s="10"/>
      <c r="GX474" s="10"/>
      <c r="GY474" s="10"/>
      <c r="GZ474" s="10"/>
      <c r="HA474" s="10"/>
      <c r="HB474" s="10"/>
      <c r="HC474" s="10"/>
      <c r="HD474" s="10"/>
      <c r="HE474" s="10"/>
      <c r="HF474" s="10"/>
      <c r="HG474" s="10"/>
      <c r="HH474" s="10"/>
      <c r="HI474" s="10"/>
      <c r="HJ474" s="10"/>
      <c r="HK474" s="10"/>
      <c r="HL474" s="10"/>
      <c r="HM474" s="10"/>
      <c r="HN474" s="10"/>
      <c r="HO474" s="10"/>
      <c r="HP474" s="10"/>
      <c r="HQ474" s="10"/>
      <c r="HR474" s="10"/>
      <c r="HS474" s="10"/>
      <c r="HT474" s="10"/>
      <c r="HU474" s="10"/>
      <c r="HV474" s="10"/>
      <c r="HW474" s="10"/>
      <c r="HX474" s="10"/>
      <c r="HY474" s="10"/>
      <c r="HZ474" s="10"/>
      <c r="IA474" s="10"/>
      <c r="IB474" s="10"/>
      <c r="IC474" s="10"/>
      <c r="ID474" s="10"/>
      <c r="IE474" s="10"/>
      <c r="IF474" s="10"/>
      <c r="IG474" s="10"/>
      <c r="IH474" s="10"/>
      <c r="II474" s="10"/>
      <c r="IJ474" s="10"/>
      <c r="IK474" s="10"/>
      <c r="IL474" s="10"/>
      <c r="IM474" s="10"/>
      <c r="IN474" s="10"/>
      <c r="IO474" s="10"/>
      <c r="IP474" s="10"/>
      <c r="IQ474" s="10"/>
      <c r="IR474" s="10"/>
      <c r="IS474" s="10"/>
      <c r="IT474" s="10"/>
      <c r="IU474" s="10"/>
      <c r="IV474" s="10"/>
      <c r="IW474" s="10"/>
    </row>
    <row r="475" spans="1:257">
      <c r="A475" s="34"/>
      <c r="B475" s="50"/>
      <c r="C475" s="24"/>
      <c r="D475" s="24"/>
      <c r="E475" s="24"/>
      <c r="F475" s="25"/>
      <c r="G475" s="25"/>
      <c r="H475" s="25"/>
      <c r="I475" s="25"/>
      <c r="J475" s="24"/>
      <c r="K475" s="25"/>
      <c r="L475" s="25"/>
      <c r="M475" s="25"/>
      <c r="N475" s="25"/>
      <c r="O475" s="25"/>
      <c r="P475" s="25"/>
      <c r="Q475" s="25"/>
      <c r="R475" s="24"/>
      <c r="S475" s="26">
        <f t="shared" si="31"/>
        <v>0</v>
      </c>
      <c r="T475" s="26">
        <f>COUNTIF($V$4:V475,V475)</f>
        <v>432</v>
      </c>
      <c r="U475" s="26" t="str">
        <f>IF(T475=1,COUNTIF($T$4:T475,1),"")</f>
        <v/>
      </c>
      <c r="V475" s="27" t="str">
        <f t="shared" si="33"/>
        <v/>
      </c>
      <c r="W475" s="27">
        <f t="shared" si="32"/>
        <v>0</v>
      </c>
      <c r="X475" s="28"/>
      <c r="Y475" s="27"/>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c r="EW475" s="10"/>
      <c r="EX475" s="10"/>
      <c r="EY475" s="10"/>
      <c r="EZ475" s="10"/>
      <c r="FA475" s="10"/>
      <c r="FB475" s="10"/>
      <c r="FC475" s="10"/>
      <c r="FD475" s="10"/>
      <c r="FE475" s="10"/>
      <c r="FF475" s="10"/>
      <c r="FG475" s="10"/>
      <c r="FH475" s="10"/>
      <c r="FI475" s="10"/>
      <c r="FJ475" s="10"/>
      <c r="FK475" s="10"/>
      <c r="FL475" s="10"/>
      <c r="FM475" s="10"/>
      <c r="FN475" s="10"/>
      <c r="FO475" s="10"/>
      <c r="FP475" s="10"/>
      <c r="FQ475" s="10"/>
      <c r="FR475" s="10"/>
      <c r="FS475" s="10"/>
      <c r="FT475" s="10"/>
      <c r="FU475" s="10"/>
      <c r="FV475" s="10"/>
      <c r="FW475" s="10"/>
      <c r="FX475" s="10"/>
      <c r="FY475" s="10"/>
      <c r="FZ475" s="10"/>
      <c r="GA475" s="10"/>
      <c r="GB475" s="10"/>
      <c r="GC475" s="10"/>
      <c r="GD475" s="10"/>
      <c r="GE475" s="10"/>
      <c r="GF475" s="10"/>
      <c r="GG475" s="10"/>
      <c r="GH475" s="10"/>
      <c r="GI475" s="10"/>
      <c r="GJ475" s="10"/>
      <c r="GK475" s="10"/>
      <c r="GL475" s="10"/>
      <c r="GM475" s="10"/>
      <c r="GN475" s="10"/>
      <c r="GO475" s="10"/>
      <c r="GP475" s="10"/>
      <c r="GQ475" s="10"/>
      <c r="GR475" s="10"/>
      <c r="GS475" s="10"/>
      <c r="GT475" s="10"/>
      <c r="GU475" s="10"/>
      <c r="GV475" s="10"/>
      <c r="GW475" s="10"/>
      <c r="GX475" s="10"/>
      <c r="GY475" s="10"/>
      <c r="GZ475" s="10"/>
      <c r="HA475" s="10"/>
      <c r="HB475" s="10"/>
      <c r="HC475" s="10"/>
      <c r="HD475" s="10"/>
      <c r="HE475" s="10"/>
      <c r="HF475" s="10"/>
      <c r="HG475" s="10"/>
      <c r="HH475" s="10"/>
      <c r="HI475" s="10"/>
      <c r="HJ475" s="10"/>
      <c r="HK475" s="10"/>
      <c r="HL475" s="10"/>
      <c r="HM475" s="10"/>
      <c r="HN475" s="10"/>
      <c r="HO475" s="10"/>
      <c r="HP475" s="10"/>
      <c r="HQ475" s="10"/>
      <c r="HR475" s="10"/>
      <c r="HS475" s="10"/>
      <c r="HT475" s="10"/>
      <c r="HU475" s="10"/>
      <c r="HV475" s="10"/>
      <c r="HW475" s="10"/>
      <c r="HX475" s="10"/>
      <c r="HY475" s="10"/>
      <c r="HZ475" s="10"/>
      <c r="IA475" s="10"/>
      <c r="IB475" s="10"/>
      <c r="IC475" s="10"/>
      <c r="ID475" s="10"/>
      <c r="IE475" s="10"/>
      <c r="IF475" s="10"/>
      <c r="IG475" s="10"/>
      <c r="IH475" s="10"/>
      <c r="II475" s="10"/>
      <c r="IJ475" s="10"/>
      <c r="IK475" s="10"/>
      <c r="IL475" s="10"/>
      <c r="IM475" s="10"/>
      <c r="IN475" s="10"/>
      <c r="IO475" s="10"/>
      <c r="IP475" s="10"/>
      <c r="IQ475" s="10"/>
      <c r="IR475" s="10"/>
      <c r="IS475" s="10"/>
      <c r="IT475" s="10"/>
      <c r="IU475" s="10"/>
      <c r="IV475" s="10"/>
      <c r="IW475" s="10"/>
    </row>
    <row r="476" spans="1:257">
      <c r="A476" s="34"/>
      <c r="B476" s="50"/>
      <c r="C476" s="24"/>
      <c r="D476" s="24"/>
      <c r="E476" s="24"/>
      <c r="F476" s="25"/>
      <c r="G476" s="25"/>
      <c r="H476" s="25"/>
      <c r="I476" s="25"/>
      <c r="J476" s="24"/>
      <c r="K476" s="25"/>
      <c r="L476" s="25"/>
      <c r="M476" s="25"/>
      <c r="N476" s="25"/>
      <c r="O476" s="25"/>
      <c r="P476" s="25"/>
      <c r="Q476" s="25"/>
      <c r="R476" s="24"/>
      <c r="S476" s="26">
        <f t="shared" si="31"/>
        <v>0</v>
      </c>
      <c r="T476" s="26">
        <f>COUNTIF($V$4:V476,V476)</f>
        <v>433</v>
      </c>
      <c r="U476" s="26" t="str">
        <f>IF(T476=1,COUNTIF($T$4:T476,1),"")</f>
        <v/>
      </c>
      <c r="V476" s="27" t="str">
        <f t="shared" si="33"/>
        <v/>
      </c>
      <c r="W476" s="27">
        <f t="shared" si="32"/>
        <v>0</v>
      </c>
      <c r="X476" s="28"/>
      <c r="Y476" s="27"/>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c r="EW476" s="10"/>
      <c r="EX476" s="10"/>
      <c r="EY476" s="10"/>
      <c r="EZ476" s="10"/>
      <c r="FA476" s="10"/>
      <c r="FB476" s="10"/>
      <c r="FC476" s="10"/>
      <c r="FD476" s="10"/>
      <c r="FE476" s="10"/>
      <c r="FF476" s="10"/>
      <c r="FG476" s="10"/>
      <c r="FH476" s="10"/>
      <c r="FI476" s="10"/>
      <c r="FJ476" s="10"/>
      <c r="FK476" s="10"/>
      <c r="FL476" s="10"/>
      <c r="FM476" s="10"/>
      <c r="FN476" s="10"/>
      <c r="FO476" s="10"/>
      <c r="FP476" s="10"/>
      <c r="FQ476" s="10"/>
      <c r="FR476" s="10"/>
      <c r="FS476" s="10"/>
      <c r="FT476" s="10"/>
      <c r="FU476" s="10"/>
      <c r="FV476" s="10"/>
      <c r="FW476" s="10"/>
      <c r="FX476" s="10"/>
      <c r="FY476" s="10"/>
      <c r="FZ476" s="10"/>
      <c r="GA476" s="10"/>
      <c r="GB476" s="10"/>
      <c r="GC476" s="10"/>
      <c r="GD476" s="10"/>
      <c r="GE476" s="10"/>
      <c r="GF476" s="10"/>
      <c r="GG476" s="10"/>
      <c r="GH476" s="10"/>
      <c r="GI476" s="10"/>
      <c r="GJ476" s="10"/>
      <c r="GK476" s="10"/>
      <c r="GL476" s="10"/>
      <c r="GM476" s="10"/>
      <c r="GN476" s="10"/>
      <c r="GO476" s="10"/>
      <c r="GP476" s="10"/>
      <c r="GQ476" s="10"/>
      <c r="GR476" s="10"/>
      <c r="GS476" s="10"/>
      <c r="GT476" s="10"/>
      <c r="GU476" s="10"/>
      <c r="GV476" s="10"/>
      <c r="GW476" s="10"/>
      <c r="GX476" s="10"/>
      <c r="GY476" s="10"/>
      <c r="GZ476" s="10"/>
      <c r="HA476" s="10"/>
      <c r="HB476" s="10"/>
      <c r="HC476" s="10"/>
      <c r="HD476" s="10"/>
      <c r="HE476" s="10"/>
      <c r="HF476" s="10"/>
      <c r="HG476" s="10"/>
      <c r="HH476" s="10"/>
      <c r="HI476" s="10"/>
      <c r="HJ476" s="10"/>
      <c r="HK476" s="10"/>
      <c r="HL476" s="10"/>
      <c r="HM476" s="10"/>
      <c r="HN476" s="10"/>
      <c r="HO476" s="10"/>
      <c r="HP476" s="10"/>
      <c r="HQ476" s="10"/>
      <c r="HR476" s="10"/>
      <c r="HS476" s="10"/>
      <c r="HT476" s="10"/>
      <c r="HU476" s="10"/>
      <c r="HV476" s="10"/>
      <c r="HW476" s="10"/>
      <c r="HX476" s="10"/>
      <c r="HY476" s="10"/>
      <c r="HZ476" s="10"/>
      <c r="IA476" s="10"/>
      <c r="IB476" s="10"/>
      <c r="IC476" s="10"/>
      <c r="ID476" s="10"/>
      <c r="IE476" s="10"/>
      <c r="IF476" s="10"/>
      <c r="IG476" s="10"/>
      <c r="IH476" s="10"/>
      <c r="II476" s="10"/>
      <c r="IJ476" s="10"/>
      <c r="IK476" s="10"/>
      <c r="IL476" s="10"/>
      <c r="IM476" s="10"/>
      <c r="IN476" s="10"/>
      <c r="IO476" s="10"/>
      <c r="IP476" s="10"/>
      <c r="IQ476" s="10"/>
      <c r="IR476" s="10"/>
      <c r="IS476" s="10"/>
      <c r="IT476" s="10"/>
      <c r="IU476" s="10"/>
      <c r="IV476" s="10"/>
      <c r="IW476" s="10"/>
    </row>
    <row r="477" spans="1:257">
      <c r="A477" s="34"/>
      <c r="B477" s="50"/>
      <c r="C477" s="24"/>
      <c r="D477" s="24"/>
      <c r="E477" s="24"/>
      <c r="F477" s="25"/>
      <c r="G477" s="25"/>
      <c r="H477" s="25"/>
      <c r="I477" s="25"/>
      <c r="J477" s="24"/>
      <c r="K477" s="25"/>
      <c r="L477" s="25"/>
      <c r="M477" s="25"/>
      <c r="N477" s="25"/>
      <c r="O477" s="25"/>
      <c r="P477" s="25"/>
      <c r="Q477" s="25"/>
      <c r="R477" s="24"/>
      <c r="S477" s="26">
        <f t="shared" si="31"/>
        <v>0</v>
      </c>
      <c r="T477" s="26">
        <f>COUNTIF($V$4:V477,V477)</f>
        <v>434</v>
      </c>
      <c r="U477" s="26" t="str">
        <f>IF(T477=1,COUNTIF($T$4:T477,1),"")</f>
        <v/>
      </c>
      <c r="V477" s="27" t="str">
        <f t="shared" si="33"/>
        <v/>
      </c>
      <c r="W477" s="27">
        <f t="shared" si="32"/>
        <v>0</v>
      </c>
      <c r="X477" s="28"/>
      <c r="Y477" s="27"/>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c r="EW477" s="10"/>
      <c r="EX477" s="10"/>
      <c r="EY477" s="10"/>
      <c r="EZ477" s="10"/>
      <c r="FA477" s="10"/>
      <c r="FB477" s="10"/>
      <c r="FC477" s="10"/>
      <c r="FD477" s="10"/>
      <c r="FE477" s="10"/>
      <c r="FF477" s="10"/>
      <c r="FG477" s="10"/>
      <c r="FH477" s="10"/>
      <c r="FI477" s="10"/>
      <c r="FJ477" s="10"/>
      <c r="FK477" s="10"/>
      <c r="FL477" s="10"/>
      <c r="FM477" s="10"/>
      <c r="FN477" s="10"/>
      <c r="FO477" s="10"/>
      <c r="FP477" s="10"/>
      <c r="FQ477" s="10"/>
      <c r="FR477" s="10"/>
      <c r="FS477" s="10"/>
      <c r="FT477" s="10"/>
      <c r="FU477" s="10"/>
      <c r="FV477" s="10"/>
      <c r="FW477" s="10"/>
      <c r="FX477" s="10"/>
      <c r="FY477" s="10"/>
      <c r="FZ477" s="10"/>
      <c r="GA477" s="10"/>
      <c r="GB477" s="10"/>
      <c r="GC477" s="10"/>
      <c r="GD477" s="10"/>
      <c r="GE477" s="10"/>
      <c r="GF477" s="10"/>
      <c r="GG477" s="10"/>
      <c r="GH477" s="10"/>
      <c r="GI477" s="10"/>
      <c r="GJ477" s="10"/>
      <c r="GK477" s="10"/>
      <c r="GL477" s="10"/>
      <c r="GM477" s="10"/>
      <c r="GN477" s="10"/>
      <c r="GO477" s="10"/>
      <c r="GP477" s="10"/>
      <c r="GQ477" s="10"/>
      <c r="GR477" s="10"/>
      <c r="GS477" s="10"/>
      <c r="GT477" s="10"/>
      <c r="GU477" s="10"/>
      <c r="GV477" s="10"/>
      <c r="GW477" s="10"/>
      <c r="GX477" s="10"/>
      <c r="GY477" s="10"/>
      <c r="GZ477" s="10"/>
      <c r="HA477" s="10"/>
      <c r="HB477" s="10"/>
      <c r="HC477" s="10"/>
      <c r="HD477" s="10"/>
      <c r="HE477" s="10"/>
      <c r="HF477" s="10"/>
      <c r="HG477" s="10"/>
      <c r="HH477" s="10"/>
      <c r="HI477" s="10"/>
      <c r="HJ477" s="10"/>
      <c r="HK477" s="10"/>
      <c r="HL477" s="10"/>
      <c r="HM477" s="10"/>
      <c r="HN477" s="10"/>
      <c r="HO477" s="10"/>
      <c r="HP477" s="10"/>
      <c r="HQ477" s="10"/>
      <c r="HR477" s="10"/>
      <c r="HS477" s="10"/>
      <c r="HT477" s="10"/>
      <c r="HU477" s="10"/>
      <c r="HV477" s="10"/>
      <c r="HW477" s="10"/>
      <c r="HX477" s="10"/>
      <c r="HY477" s="10"/>
      <c r="HZ477" s="10"/>
      <c r="IA477" s="10"/>
      <c r="IB477" s="10"/>
      <c r="IC477" s="10"/>
      <c r="ID477" s="10"/>
      <c r="IE477" s="10"/>
      <c r="IF477" s="10"/>
      <c r="IG477" s="10"/>
      <c r="IH477" s="10"/>
      <c r="II477" s="10"/>
      <c r="IJ477" s="10"/>
      <c r="IK477" s="10"/>
      <c r="IL477" s="10"/>
      <c r="IM477" s="10"/>
      <c r="IN477" s="10"/>
      <c r="IO477" s="10"/>
      <c r="IP477" s="10"/>
      <c r="IQ477" s="10"/>
      <c r="IR477" s="10"/>
      <c r="IS477" s="10"/>
      <c r="IT477" s="10"/>
      <c r="IU477" s="10"/>
      <c r="IV477" s="10"/>
      <c r="IW477" s="10"/>
    </row>
    <row r="478" spans="1:257">
      <c r="A478" s="34"/>
      <c r="B478" s="50"/>
      <c r="C478" s="24"/>
      <c r="D478" s="24"/>
      <c r="E478" s="24"/>
      <c r="F478" s="25"/>
      <c r="G478" s="25"/>
      <c r="H478" s="25"/>
      <c r="I478" s="25"/>
      <c r="J478" s="24"/>
      <c r="K478" s="25"/>
      <c r="L478" s="25"/>
      <c r="M478" s="25"/>
      <c r="N478" s="25"/>
      <c r="O478" s="25"/>
      <c r="P478" s="25"/>
      <c r="Q478" s="25"/>
      <c r="R478" s="24"/>
      <c r="S478" s="26">
        <f t="shared" si="31"/>
        <v>0</v>
      </c>
      <c r="T478" s="26">
        <f>COUNTIF($V$4:V478,V478)</f>
        <v>435</v>
      </c>
      <c r="U478" s="26" t="str">
        <f>IF(T478=1,COUNTIF($T$4:T478,1),"")</f>
        <v/>
      </c>
      <c r="V478" s="27" t="str">
        <f t="shared" si="33"/>
        <v/>
      </c>
      <c r="W478" s="27">
        <f t="shared" si="32"/>
        <v>0</v>
      </c>
      <c r="X478" s="28"/>
      <c r="Y478" s="27"/>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c r="EW478" s="10"/>
      <c r="EX478" s="10"/>
      <c r="EY478" s="10"/>
      <c r="EZ478" s="10"/>
      <c r="FA478" s="10"/>
      <c r="FB478" s="10"/>
      <c r="FC478" s="10"/>
      <c r="FD478" s="10"/>
      <c r="FE478" s="10"/>
      <c r="FF478" s="10"/>
      <c r="FG478" s="10"/>
      <c r="FH478" s="10"/>
      <c r="FI478" s="10"/>
      <c r="FJ478" s="10"/>
      <c r="FK478" s="10"/>
      <c r="FL478" s="10"/>
      <c r="FM478" s="10"/>
      <c r="FN478" s="10"/>
      <c r="FO478" s="10"/>
      <c r="FP478" s="10"/>
      <c r="FQ478" s="10"/>
      <c r="FR478" s="10"/>
      <c r="FS478" s="10"/>
      <c r="FT478" s="10"/>
      <c r="FU478" s="10"/>
      <c r="FV478" s="10"/>
      <c r="FW478" s="10"/>
      <c r="FX478" s="10"/>
      <c r="FY478" s="10"/>
      <c r="FZ478" s="10"/>
      <c r="GA478" s="10"/>
      <c r="GB478" s="10"/>
      <c r="GC478" s="10"/>
      <c r="GD478" s="10"/>
      <c r="GE478" s="10"/>
      <c r="GF478" s="10"/>
      <c r="GG478" s="10"/>
      <c r="GH478" s="10"/>
      <c r="GI478" s="10"/>
      <c r="GJ478" s="10"/>
      <c r="GK478" s="10"/>
      <c r="GL478" s="10"/>
      <c r="GM478" s="10"/>
      <c r="GN478" s="10"/>
      <c r="GO478" s="10"/>
      <c r="GP478" s="10"/>
      <c r="GQ478" s="10"/>
      <c r="GR478" s="10"/>
      <c r="GS478" s="10"/>
      <c r="GT478" s="10"/>
      <c r="GU478" s="10"/>
      <c r="GV478" s="10"/>
      <c r="GW478" s="10"/>
      <c r="GX478" s="10"/>
      <c r="GY478" s="10"/>
      <c r="GZ478" s="10"/>
      <c r="HA478" s="10"/>
      <c r="HB478" s="10"/>
      <c r="HC478" s="10"/>
      <c r="HD478" s="10"/>
      <c r="HE478" s="10"/>
      <c r="HF478" s="10"/>
      <c r="HG478" s="10"/>
      <c r="HH478" s="10"/>
      <c r="HI478" s="10"/>
      <c r="HJ478" s="10"/>
      <c r="HK478" s="10"/>
      <c r="HL478" s="10"/>
      <c r="HM478" s="10"/>
      <c r="HN478" s="10"/>
      <c r="HO478" s="10"/>
      <c r="HP478" s="10"/>
      <c r="HQ478" s="10"/>
      <c r="HR478" s="10"/>
      <c r="HS478" s="10"/>
      <c r="HT478" s="10"/>
      <c r="HU478" s="10"/>
      <c r="HV478" s="10"/>
      <c r="HW478" s="10"/>
      <c r="HX478" s="10"/>
      <c r="HY478" s="10"/>
      <c r="HZ478" s="10"/>
      <c r="IA478" s="10"/>
      <c r="IB478" s="10"/>
      <c r="IC478" s="10"/>
      <c r="ID478" s="10"/>
      <c r="IE478" s="10"/>
      <c r="IF478" s="10"/>
      <c r="IG478" s="10"/>
      <c r="IH478" s="10"/>
      <c r="II478" s="10"/>
      <c r="IJ478" s="10"/>
      <c r="IK478" s="10"/>
      <c r="IL478" s="10"/>
      <c r="IM478" s="10"/>
      <c r="IN478" s="10"/>
      <c r="IO478" s="10"/>
      <c r="IP478" s="10"/>
      <c r="IQ478" s="10"/>
      <c r="IR478" s="10"/>
      <c r="IS478" s="10"/>
      <c r="IT478" s="10"/>
      <c r="IU478" s="10"/>
      <c r="IV478" s="10"/>
      <c r="IW478" s="10"/>
    </row>
    <row r="479" spans="1:257">
      <c r="A479" s="34"/>
      <c r="B479" s="50"/>
      <c r="C479" s="24"/>
      <c r="D479" s="24"/>
      <c r="E479" s="24"/>
      <c r="F479" s="25"/>
      <c r="G479" s="25"/>
      <c r="H479" s="25"/>
      <c r="I479" s="25"/>
      <c r="J479" s="24"/>
      <c r="K479" s="25"/>
      <c r="L479" s="25"/>
      <c r="M479" s="25"/>
      <c r="N479" s="25"/>
      <c r="O479" s="25"/>
      <c r="P479" s="25"/>
      <c r="Q479" s="25"/>
      <c r="R479" s="24"/>
      <c r="S479" s="26">
        <f t="shared" si="31"/>
        <v>0</v>
      </c>
      <c r="T479" s="26">
        <f>COUNTIF($V$4:V479,V479)</f>
        <v>436</v>
      </c>
      <c r="U479" s="26" t="str">
        <f>IF(T479=1,COUNTIF($T$4:T479,1),"")</f>
        <v/>
      </c>
      <c r="V479" s="27" t="str">
        <f t="shared" si="33"/>
        <v/>
      </c>
      <c r="W479" s="27">
        <f t="shared" si="32"/>
        <v>0</v>
      </c>
      <c r="X479" s="28"/>
      <c r="Y479" s="27"/>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c r="CJ479" s="10"/>
      <c r="CK479" s="10"/>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c r="DH479" s="10"/>
      <c r="DI479" s="10"/>
      <c r="DJ479" s="10"/>
      <c r="DK479" s="10"/>
      <c r="DL479" s="10"/>
      <c r="DM479" s="10"/>
      <c r="DN479" s="10"/>
      <c r="DO479" s="10"/>
      <c r="DP479" s="10"/>
      <c r="DQ479" s="10"/>
      <c r="DR479" s="10"/>
      <c r="DS479" s="10"/>
      <c r="DT479" s="10"/>
      <c r="DU479" s="10"/>
      <c r="DV479" s="10"/>
      <c r="DW479" s="10"/>
      <c r="DX479" s="10"/>
      <c r="DY479" s="10"/>
      <c r="DZ479" s="10"/>
      <c r="EA479" s="10"/>
      <c r="EB479" s="10"/>
      <c r="EC479" s="10"/>
      <c r="ED479" s="10"/>
      <c r="EE479" s="10"/>
      <c r="EF479" s="10"/>
      <c r="EG479" s="10"/>
      <c r="EH479" s="10"/>
      <c r="EI479" s="10"/>
      <c r="EJ479" s="10"/>
      <c r="EK479" s="10"/>
      <c r="EL479" s="10"/>
      <c r="EM479" s="10"/>
      <c r="EN479" s="10"/>
      <c r="EO479" s="10"/>
      <c r="EP479" s="10"/>
      <c r="EQ479" s="10"/>
      <c r="ER479" s="10"/>
      <c r="ES479" s="10"/>
      <c r="ET479" s="10"/>
      <c r="EU479" s="10"/>
      <c r="EV479" s="10"/>
      <c r="EW479" s="10"/>
      <c r="EX479" s="10"/>
      <c r="EY479" s="10"/>
      <c r="EZ479" s="10"/>
      <c r="FA479" s="10"/>
      <c r="FB479" s="10"/>
      <c r="FC479" s="10"/>
      <c r="FD479" s="10"/>
      <c r="FE479" s="10"/>
      <c r="FF479" s="10"/>
      <c r="FG479" s="10"/>
      <c r="FH479" s="10"/>
      <c r="FI479" s="10"/>
      <c r="FJ479" s="10"/>
      <c r="FK479" s="10"/>
      <c r="FL479" s="10"/>
      <c r="FM479" s="10"/>
      <c r="FN479" s="10"/>
      <c r="FO479" s="10"/>
      <c r="FP479" s="10"/>
      <c r="FQ479" s="10"/>
      <c r="FR479" s="10"/>
      <c r="FS479" s="10"/>
      <c r="FT479" s="10"/>
      <c r="FU479" s="10"/>
      <c r="FV479" s="10"/>
      <c r="FW479" s="10"/>
      <c r="FX479" s="10"/>
      <c r="FY479" s="10"/>
      <c r="FZ479" s="10"/>
      <c r="GA479" s="10"/>
      <c r="GB479" s="10"/>
      <c r="GC479" s="10"/>
      <c r="GD479" s="10"/>
      <c r="GE479" s="10"/>
      <c r="GF479" s="10"/>
      <c r="GG479" s="10"/>
      <c r="GH479" s="10"/>
      <c r="GI479" s="10"/>
      <c r="GJ479" s="10"/>
      <c r="GK479" s="10"/>
      <c r="GL479" s="10"/>
      <c r="GM479" s="10"/>
      <c r="GN479" s="10"/>
      <c r="GO479" s="10"/>
      <c r="GP479" s="10"/>
      <c r="GQ479" s="10"/>
      <c r="GR479" s="10"/>
      <c r="GS479" s="10"/>
      <c r="GT479" s="10"/>
      <c r="GU479" s="10"/>
      <c r="GV479" s="10"/>
      <c r="GW479" s="10"/>
      <c r="GX479" s="10"/>
      <c r="GY479" s="10"/>
      <c r="GZ479" s="10"/>
      <c r="HA479" s="10"/>
      <c r="HB479" s="10"/>
      <c r="HC479" s="10"/>
      <c r="HD479" s="10"/>
      <c r="HE479" s="10"/>
      <c r="HF479" s="10"/>
      <c r="HG479" s="10"/>
      <c r="HH479" s="10"/>
      <c r="HI479" s="10"/>
      <c r="HJ479" s="10"/>
      <c r="HK479" s="10"/>
      <c r="HL479" s="10"/>
      <c r="HM479" s="10"/>
      <c r="HN479" s="10"/>
      <c r="HO479" s="10"/>
      <c r="HP479" s="10"/>
      <c r="HQ479" s="10"/>
      <c r="HR479" s="10"/>
      <c r="HS479" s="10"/>
      <c r="HT479" s="10"/>
      <c r="HU479" s="10"/>
      <c r="HV479" s="10"/>
      <c r="HW479" s="10"/>
      <c r="HX479" s="10"/>
      <c r="HY479" s="10"/>
      <c r="HZ479" s="10"/>
      <c r="IA479" s="10"/>
      <c r="IB479" s="10"/>
      <c r="IC479" s="10"/>
      <c r="ID479" s="10"/>
      <c r="IE479" s="10"/>
      <c r="IF479" s="10"/>
      <c r="IG479" s="10"/>
      <c r="IH479" s="10"/>
      <c r="II479" s="10"/>
      <c r="IJ479" s="10"/>
      <c r="IK479" s="10"/>
      <c r="IL479" s="10"/>
      <c r="IM479" s="10"/>
      <c r="IN479" s="10"/>
      <c r="IO479" s="10"/>
      <c r="IP479" s="10"/>
      <c r="IQ479" s="10"/>
      <c r="IR479" s="10"/>
      <c r="IS479" s="10"/>
      <c r="IT479" s="10"/>
      <c r="IU479" s="10"/>
      <c r="IV479" s="10"/>
      <c r="IW479" s="10"/>
    </row>
    <row r="480" spans="1:257">
      <c r="A480" s="34"/>
      <c r="B480" s="50"/>
      <c r="C480" s="24"/>
      <c r="D480" s="24"/>
      <c r="E480" s="24"/>
      <c r="F480" s="25"/>
      <c r="G480" s="25"/>
      <c r="H480" s="25"/>
      <c r="I480" s="25"/>
      <c r="J480" s="24"/>
      <c r="K480" s="25"/>
      <c r="L480" s="25"/>
      <c r="M480" s="25"/>
      <c r="N480" s="25"/>
      <c r="O480" s="25"/>
      <c r="P480" s="25"/>
      <c r="Q480" s="25"/>
      <c r="R480" s="24"/>
      <c r="S480" s="26">
        <f t="shared" si="31"/>
        <v>0</v>
      </c>
      <c r="T480" s="26">
        <f>COUNTIF($V$4:V480,V480)</f>
        <v>437</v>
      </c>
      <c r="U480" s="26" t="str">
        <f>IF(T480=1,COUNTIF($T$4:T480,1),"")</f>
        <v/>
      </c>
      <c r="V480" s="27" t="str">
        <f t="shared" si="33"/>
        <v/>
      </c>
      <c r="W480" s="27">
        <f t="shared" si="32"/>
        <v>0</v>
      </c>
      <c r="X480" s="28"/>
      <c r="Y480" s="27"/>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c r="EO480" s="10"/>
      <c r="EP480" s="10"/>
      <c r="EQ480" s="10"/>
      <c r="ER480" s="10"/>
      <c r="ES480" s="10"/>
      <c r="ET480" s="10"/>
      <c r="EU480" s="10"/>
      <c r="EV480" s="10"/>
      <c r="EW480" s="10"/>
      <c r="EX480" s="10"/>
      <c r="EY480" s="10"/>
      <c r="EZ480" s="10"/>
      <c r="FA480" s="10"/>
      <c r="FB480" s="10"/>
      <c r="FC480" s="10"/>
      <c r="FD480" s="10"/>
      <c r="FE480" s="10"/>
      <c r="FF480" s="10"/>
      <c r="FG480" s="10"/>
      <c r="FH480" s="10"/>
      <c r="FI480" s="10"/>
      <c r="FJ480" s="10"/>
      <c r="FK480" s="10"/>
      <c r="FL480" s="10"/>
      <c r="FM480" s="10"/>
      <c r="FN480" s="10"/>
      <c r="FO480" s="10"/>
      <c r="FP480" s="10"/>
      <c r="FQ480" s="10"/>
      <c r="FR480" s="10"/>
      <c r="FS480" s="10"/>
      <c r="FT480" s="10"/>
      <c r="FU480" s="10"/>
      <c r="FV480" s="10"/>
      <c r="FW480" s="10"/>
      <c r="FX480" s="10"/>
      <c r="FY480" s="10"/>
      <c r="FZ480" s="10"/>
      <c r="GA480" s="10"/>
      <c r="GB480" s="10"/>
      <c r="GC480" s="10"/>
      <c r="GD480" s="10"/>
      <c r="GE480" s="10"/>
      <c r="GF480" s="10"/>
      <c r="GG480" s="10"/>
      <c r="GH480" s="10"/>
      <c r="GI480" s="10"/>
      <c r="GJ480" s="10"/>
      <c r="GK480" s="10"/>
      <c r="GL480" s="10"/>
      <c r="GM480" s="10"/>
      <c r="GN480" s="10"/>
      <c r="GO480" s="10"/>
      <c r="GP480" s="10"/>
      <c r="GQ480" s="10"/>
      <c r="GR480" s="10"/>
      <c r="GS480" s="10"/>
      <c r="GT480" s="10"/>
      <c r="GU480" s="10"/>
      <c r="GV480" s="10"/>
      <c r="GW480" s="10"/>
      <c r="GX480" s="10"/>
      <c r="GY480" s="10"/>
      <c r="GZ480" s="10"/>
      <c r="HA480" s="10"/>
      <c r="HB480" s="10"/>
      <c r="HC480" s="10"/>
      <c r="HD480" s="10"/>
      <c r="HE480" s="10"/>
      <c r="HF480" s="10"/>
      <c r="HG480" s="10"/>
      <c r="HH480" s="10"/>
      <c r="HI480" s="10"/>
      <c r="HJ480" s="10"/>
      <c r="HK480" s="10"/>
      <c r="HL480" s="10"/>
      <c r="HM480" s="10"/>
      <c r="HN480" s="10"/>
      <c r="HO480" s="10"/>
      <c r="HP480" s="10"/>
      <c r="HQ480" s="10"/>
      <c r="HR480" s="10"/>
      <c r="HS480" s="10"/>
      <c r="HT480" s="10"/>
      <c r="HU480" s="10"/>
      <c r="HV480" s="10"/>
      <c r="HW480" s="10"/>
      <c r="HX480" s="10"/>
      <c r="HY480" s="10"/>
      <c r="HZ480" s="10"/>
      <c r="IA480" s="10"/>
      <c r="IB480" s="10"/>
      <c r="IC480" s="10"/>
      <c r="ID480" s="10"/>
      <c r="IE480" s="10"/>
      <c r="IF480" s="10"/>
      <c r="IG480" s="10"/>
      <c r="IH480" s="10"/>
      <c r="II480" s="10"/>
      <c r="IJ480" s="10"/>
      <c r="IK480" s="10"/>
      <c r="IL480" s="10"/>
      <c r="IM480" s="10"/>
      <c r="IN480" s="10"/>
      <c r="IO480" s="10"/>
      <c r="IP480" s="10"/>
      <c r="IQ480" s="10"/>
      <c r="IR480" s="10"/>
      <c r="IS480" s="10"/>
      <c r="IT480" s="10"/>
      <c r="IU480" s="10"/>
      <c r="IV480" s="10"/>
      <c r="IW480" s="10"/>
    </row>
    <row r="481" spans="1:257">
      <c r="A481" s="34"/>
      <c r="B481" s="50"/>
      <c r="C481" s="24"/>
      <c r="D481" s="24"/>
      <c r="E481" s="24"/>
      <c r="F481" s="25"/>
      <c r="G481" s="25"/>
      <c r="H481" s="25"/>
      <c r="I481" s="25"/>
      <c r="J481" s="24"/>
      <c r="K481" s="25"/>
      <c r="L481" s="25"/>
      <c r="M481" s="25"/>
      <c r="N481" s="25"/>
      <c r="O481" s="25"/>
      <c r="P481" s="25"/>
      <c r="Q481" s="25"/>
      <c r="R481" s="24"/>
      <c r="S481" s="26">
        <f t="shared" si="31"/>
        <v>0</v>
      </c>
      <c r="T481" s="26">
        <f>COUNTIF($V$4:V481,V481)</f>
        <v>438</v>
      </c>
      <c r="U481" s="26" t="str">
        <f>IF(T481=1,COUNTIF($T$4:T481,1),"")</f>
        <v/>
      </c>
      <c r="V481" s="27" t="str">
        <f t="shared" si="33"/>
        <v/>
      </c>
      <c r="W481" s="27">
        <f t="shared" si="32"/>
        <v>0</v>
      </c>
      <c r="X481" s="28"/>
      <c r="Y481" s="27"/>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c r="EW481" s="10"/>
      <c r="EX481" s="10"/>
      <c r="EY481" s="10"/>
      <c r="EZ481" s="10"/>
      <c r="FA481" s="10"/>
      <c r="FB481" s="10"/>
      <c r="FC481" s="10"/>
      <c r="FD481" s="10"/>
      <c r="FE481" s="10"/>
      <c r="FF481" s="10"/>
      <c r="FG481" s="10"/>
      <c r="FH481" s="10"/>
      <c r="FI481" s="10"/>
      <c r="FJ481" s="10"/>
      <c r="FK481" s="10"/>
      <c r="FL481" s="10"/>
      <c r="FM481" s="10"/>
      <c r="FN481" s="10"/>
      <c r="FO481" s="10"/>
      <c r="FP481" s="10"/>
      <c r="FQ481" s="10"/>
      <c r="FR481" s="10"/>
      <c r="FS481" s="10"/>
      <c r="FT481" s="10"/>
      <c r="FU481" s="10"/>
      <c r="FV481" s="10"/>
      <c r="FW481" s="10"/>
      <c r="FX481" s="10"/>
      <c r="FY481" s="10"/>
      <c r="FZ481" s="10"/>
      <c r="GA481" s="10"/>
      <c r="GB481" s="10"/>
      <c r="GC481" s="10"/>
      <c r="GD481" s="10"/>
      <c r="GE481" s="10"/>
      <c r="GF481" s="10"/>
      <c r="GG481" s="10"/>
      <c r="GH481" s="10"/>
      <c r="GI481" s="10"/>
      <c r="GJ481" s="10"/>
      <c r="GK481" s="10"/>
      <c r="GL481" s="10"/>
      <c r="GM481" s="10"/>
      <c r="GN481" s="10"/>
      <c r="GO481" s="10"/>
      <c r="GP481" s="10"/>
      <c r="GQ481" s="10"/>
      <c r="GR481" s="10"/>
      <c r="GS481" s="10"/>
      <c r="GT481" s="10"/>
      <c r="GU481" s="10"/>
      <c r="GV481" s="10"/>
      <c r="GW481" s="10"/>
      <c r="GX481" s="10"/>
      <c r="GY481" s="10"/>
      <c r="GZ481" s="10"/>
      <c r="HA481" s="10"/>
      <c r="HB481" s="10"/>
      <c r="HC481" s="10"/>
      <c r="HD481" s="10"/>
      <c r="HE481" s="10"/>
      <c r="HF481" s="10"/>
      <c r="HG481" s="10"/>
      <c r="HH481" s="10"/>
      <c r="HI481" s="10"/>
      <c r="HJ481" s="10"/>
      <c r="HK481" s="10"/>
      <c r="HL481" s="10"/>
      <c r="HM481" s="10"/>
      <c r="HN481" s="10"/>
      <c r="HO481" s="10"/>
      <c r="HP481" s="10"/>
      <c r="HQ481" s="10"/>
      <c r="HR481" s="10"/>
      <c r="HS481" s="10"/>
      <c r="HT481" s="10"/>
      <c r="HU481" s="10"/>
      <c r="HV481" s="10"/>
      <c r="HW481" s="10"/>
      <c r="HX481" s="10"/>
      <c r="HY481" s="10"/>
      <c r="HZ481" s="10"/>
      <c r="IA481" s="10"/>
      <c r="IB481" s="10"/>
      <c r="IC481" s="10"/>
      <c r="ID481" s="10"/>
      <c r="IE481" s="10"/>
      <c r="IF481" s="10"/>
      <c r="IG481" s="10"/>
      <c r="IH481" s="10"/>
      <c r="II481" s="10"/>
      <c r="IJ481" s="10"/>
      <c r="IK481" s="10"/>
      <c r="IL481" s="10"/>
      <c r="IM481" s="10"/>
      <c r="IN481" s="10"/>
      <c r="IO481" s="10"/>
      <c r="IP481" s="10"/>
      <c r="IQ481" s="10"/>
      <c r="IR481" s="10"/>
      <c r="IS481" s="10"/>
      <c r="IT481" s="10"/>
      <c r="IU481" s="10"/>
      <c r="IV481" s="10"/>
      <c r="IW481" s="10"/>
    </row>
    <row r="482" spans="1:257">
      <c r="A482" s="34"/>
      <c r="B482" s="50"/>
      <c r="C482" s="24"/>
      <c r="D482" s="24"/>
      <c r="E482" s="24"/>
      <c r="F482" s="25"/>
      <c r="G482" s="25"/>
      <c r="H482" s="25"/>
      <c r="I482" s="25"/>
      <c r="J482" s="24"/>
      <c r="K482" s="25"/>
      <c r="L482" s="25"/>
      <c r="M482" s="25"/>
      <c r="N482" s="25"/>
      <c r="O482" s="25"/>
      <c r="P482" s="25"/>
      <c r="Q482" s="25"/>
      <c r="R482" s="24"/>
      <c r="S482" s="26">
        <f t="shared" si="31"/>
        <v>0</v>
      </c>
      <c r="T482" s="26">
        <f>COUNTIF($V$4:V482,V482)</f>
        <v>439</v>
      </c>
      <c r="U482" s="26" t="str">
        <f>IF(T482=1,COUNTIF($T$4:T482,1),"")</f>
        <v/>
      </c>
      <c r="V482" s="27" t="str">
        <f t="shared" si="33"/>
        <v/>
      </c>
      <c r="W482" s="27">
        <f t="shared" si="32"/>
        <v>0</v>
      </c>
      <c r="X482" s="28"/>
      <c r="Y482" s="27"/>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c r="EW482" s="10"/>
      <c r="EX482" s="10"/>
      <c r="EY482" s="10"/>
      <c r="EZ482" s="10"/>
      <c r="FA482" s="10"/>
      <c r="FB482" s="10"/>
      <c r="FC482" s="10"/>
      <c r="FD482" s="10"/>
      <c r="FE482" s="10"/>
      <c r="FF482" s="10"/>
      <c r="FG482" s="10"/>
      <c r="FH482" s="10"/>
      <c r="FI482" s="10"/>
      <c r="FJ482" s="10"/>
      <c r="FK482" s="10"/>
      <c r="FL482" s="10"/>
      <c r="FM482" s="10"/>
      <c r="FN482" s="10"/>
      <c r="FO482" s="10"/>
      <c r="FP482" s="10"/>
      <c r="FQ482" s="10"/>
      <c r="FR482" s="10"/>
      <c r="FS482" s="10"/>
      <c r="FT482" s="10"/>
      <c r="FU482" s="10"/>
      <c r="FV482" s="10"/>
      <c r="FW482" s="10"/>
      <c r="FX482" s="10"/>
      <c r="FY482" s="10"/>
      <c r="FZ482" s="10"/>
      <c r="GA482" s="10"/>
      <c r="GB482" s="10"/>
      <c r="GC482" s="10"/>
      <c r="GD482" s="10"/>
      <c r="GE482" s="10"/>
      <c r="GF482" s="10"/>
      <c r="GG482" s="10"/>
      <c r="GH482" s="10"/>
      <c r="GI482" s="10"/>
      <c r="GJ482" s="10"/>
      <c r="GK482" s="10"/>
      <c r="GL482" s="10"/>
      <c r="GM482" s="10"/>
      <c r="GN482" s="10"/>
      <c r="GO482" s="10"/>
      <c r="GP482" s="10"/>
      <c r="GQ482" s="10"/>
      <c r="GR482" s="10"/>
      <c r="GS482" s="10"/>
      <c r="GT482" s="10"/>
      <c r="GU482" s="10"/>
      <c r="GV482" s="10"/>
      <c r="GW482" s="10"/>
      <c r="GX482" s="10"/>
      <c r="GY482" s="10"/>
      <c r="GZ482" s="10"/>
      <c r="HA482" s="10"/>
      <c r="HB482" s="10"/>
      <c r="HC482" s="10"/>
      <c r="HD482" s="10"/>
      <c r="HE482" s="10"/>
      <c r="HF482" s="10"/>
      <c r="HG482" s="10"/>
      <c r="HH482" s="10"/>
      <c r="HI482" s="10"/>
      <c r="HJ482" s="10"/>
      <c r="HK482" s="10"/>
      <c r="HL482" s="10"/>
      <c r="HM482" s="10"/>
      <c r="HN482" s="10"/>
      <c r="HO482" s="10"/>
      <c r="HP482" s="10"/>
      <c r="HQ482" s="10"/>
      <c r="HR482" s="10"/>
      <c r="HS482" s="10"/>
      <c r="HT482" s="10"/>
      <c r="HU482" s="10"/>
      <c r="HV482" s="10"/>
      <c r="HW482" s="10"/>
      <c r="HX482" s="10"/>
      <c r="HY482" s="10"/>
      <c r="HZ482" s="10"/>
      <c r="IA482" s="10"/>
      <c r="IB482" s="10"/>
      <c r="IC482" s="10"/>
      <c r="ID482" s="10"/>
      <c r="IE482" s="10"/>
      <c r="IF482" s="10"/>
      <c r="IG482" s="10"/>
      <c r="IH482" s="10"/>
      <c r="II482" s="10"/>
      <c r="IJ482" s="10"/>
      <c r="IK482" s="10"/>
      <c r="IL482" s="10"/>
      <c r="IM482" s="10"/>
      <c r="IN482" s="10"/>
      <c r="IO482" s="10"/>
      <c r="IP482" s="10"/>
      <c r="IQ482" s="10"/>
      <c r="IR482" s="10"/>
      <c r="IS482" s="10"/>
      <c r="IT482" s="10"/>
      <c r="IU482" s="10"/>
      <c r="IV482" s="10"/>
      <c r="IW482" s="10"/>
    </row>
    <row r="483" spans="1:257">
      <c r="A483" s="34"/>
      <c r="B483" s="50"/>
      <c r="C483" s="24"/>
      <c r="D483" s="24"/>
      <c r="E483" s="24"/>
      <c r="F483" s="25"/>
      <c r="G483" s="25"/>
      <c r="H483" s="25"/>
      <c r="I483" s="25"/>
      <c r="J483" s="24"/>
      <c r="K483" s="25"/>
      <c r="L483" s="25"/>
      <c r="M483" s="25"/>
      <c r="N483" s="25"/>
      <c r="O483" s="25"/>
      <c r="P483" s="25"/>
      <c r="Q483" s="25"/>
      <c r="R483" s="24"/>
      <c r="S483" s="26">
        <f t="shared" si="31"/>
        <v>0</v>
      </c>
      <c r="T483" s="26">
        <f>COUNTIF($V$4:V483,V483)</f>
        <v>440</v>
      </c>
      <c r="U483" s="26" t="str">
        <f>IF(T483=1,COUNTIF($T$4:T483,1),"")</f>
        <v/>
      </c>
      <c r="V483" s="27" t="str">
        <f t="shared" si="33"/>
        <v/>
      </c>
      <c r="W483" s="27">
        <f t="shared" si="32"/>
        <v>0</v>
      </c>
      <c r="X483" s="28"/>
      <c r="Y483" s="27"/>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c r="EW483" s="10"/>
      <c r="EX483" s="10"/>
      <c r="EY483" s="10"/>
      <c r="EZ483" s="10"/>
      <c r="FA483" s="10"/>
      <c r="FB483" s="10"/>
      <c r="FC483" s="10"/>
      <c r="FD483" s="10"/>
      <c r="FE483" s="10"/>
      <c r="FF483" s="10"/>
      <c r="FG483" s="10"/>
      <c r="FH483" s="10"/>
      <c r="FI483" s="10"/>
      <c r="FJ483" s="10"/>
      <c r="FK483" s="10"/>
      <c r="FL483" s="10"/>
      <c r="FM483" s="10"/>
      <c r="FN483" s="10"/>
      <c r="FO483" s="10"/>
      <c r="FP483" s="10"/>
      <c r="FQ483" s="10"/>
      <c r="FR483" s="10"/>
      <c r="FS483" s="10"/>
      <c r="FT483" s="10"/>
      <c r="FU483" s="10"/>
      <c r="FV483" s="10"/>
      <c r="FW483" s="10"/>
      <c r="FX483" s="10"/>
      <c r="FY483" s="10"/>
      <c r="FZ483" s="10"/>
      <c r="GA483" s="10"/>
      <c r="GB483" s="10"/>
      <c r="GC483" s="10"/>
      <c r="GD483" s="10"/>
      <c r="GE483" s="10"/>
      <c r="GF483" s="10"/>
      <c r="GG483" s="10"/>
      <c r="GH483" s="10"/>
      <c r="GI483" s="10"/>
      <c r="GJ483" s="10"/>
      <c r="GK483" s="10"/>
      <c r="GL483" s="10"/>
      <c r="GM483" s="10"/>
      <c r="GN483" s="10"/>
      <c r="GO483" s="10"/>
      <c r="GP483" s="10"/>
      <c r="GQ483" s="10"/>
      <c r="GR483" s="10"/>
      <c r="GS483" s="10"/>
      <c r="GT483" s="10"/>
      <c r="GU483" s="10"/>
      <c r="GV483" s="10"/>
      <c r="GW483" s="10"/>
      <c r="GX483" s="10"/>
      <c r="GY483" s="10"/>
      <c r="GZ483" s="10"/>
      <c r="HA483" s="10"/>
      <c r="HB483" s="10"/>
      <c r="HC483" s="10"/>
      <c r="HD483" s="10"/>
      <c r="HE483" s="10"/>
      <c r="HF483" s="10"/>
      <c r="HG483" s="10"/>
      <c r="HH483" s="10"/>
      <c r="HI483" s="10"/>
      <c r="HJ483" s="10"/>
      <c r="HK483" s="10"/>
      <c r="HL483" s="10"/>
      <c r="HM483" s="10"/>
      <c r="HN483" s="10"/>
      <c r="HO483" s="10"/>
      <c r="HP483" s="10"/>
      <c r="HQ483" s="10"/>
      <c r="HR483" s="10"/>
      <c r="HS483" s="10"/>
      <c r="HT483" s="10"/>
      <c r="HU483" s="10"/>
      <c r="HV483" s="10"/>
      <c r="HW483" s="10"/>
      <c r="HX483" s="10"/>
      <c r="HY483" s="10"/>
      <c r="HZ483" s="10"/>
      <c r="IA483" s="10"/>
      <c r="IB483" s="10"/>
      <c r="IC483" s="10"/>
      <c r="ID483" s="10"/>
      <c r="IE483" s="10"/>
      <c r="IF483" s="10"/>
      <c r="IG483" s="10"/>
      <c r="IH483" s="10"/>
      <c r="II483" s="10"/>
      <c r="IJ483" s="10"/>
      <c r="IK483" s="10"/>
      <c r="IL483" s="10"/>
      <c r="IM483" s="10"/>
      <c r="IN483" s="10"/>
      <c r="IO483" s="10"/>
      <c r="IP483" s="10"/>
      <c r="IQ483" s="10"/>
      <c r="IR483" s="10"/>
      <c r="IS483" s="10"/>
      <c r="IT483" s="10"/>
      <c r="IU483" s="10"/>
      <c r="IV483" s="10"/>
      <c r="IW483" s="10"/>
    </row>
    <row r="484" spans="1:257">
      <c r="A484" s="34"/>
      <c r="B484" s="50"/>
      <c r="C484" s="24"/>
      <c r="D484" s="24"/>
      <c r="E484" s="24"/>
      <c r="F484" s="25"/>
      <c r="G484" s="25"/>
      <c r="H484" s="25"/>
      <c r="I484" s="25"/>
      <c r="J484" s="24"/>
      <c r="K484" s="25"/>
      <c r="L484" s="25"/>
      <c r="M484" s="25"/>
      <c r="N484" s="25"/>
      <c r="O484" s="25"/>
      <c r="P484" s="25"/>
      <c r="Q484" s="25"/>
      <c r="R484" s="24"/>
      <c r="S484" s="26">
        <f t="shared" si="31"/>
        <v>0</v>
      </c>
      <c r="T484" s="26">
        <f>COUNTIF($V$4:V484,V484)</f>
        <v>441</v>
      </c>
      <c r="U484" s="26" t="str">
        <f>IF(T484=1,COUNTIF($T$4:T484,1),"")</f>
        <v/>
      </c>
      <c r="V484" s="27" t="str">
        <f t="shared" si="33"/>
        <v/>
      </c>
      <c r="W484" s="27">
        <f t="shared" si="32"/>
        <v>0</v>
      </c>
      <c r="X484" s="28"/>
      <c r="Y484" s="27"/>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c r="EW484" s="10"/>
      <c r="EX484" s="10"/>
      <c r="EY484" s="10"/>
      <c r="EZ484" s="10"/>
      <c r="FA484" s="10"/>
      <c r="FB484" s="10"/>
      <c r="FC484" s="10"/>
      <c r="FD484" s="10"/>
      <c r="FE484" s="10"/>
      <c r="FF484" s="10"/>
      <c r="FG484" s="10"/>
      <c r="FH484" s="10"/>
      <c r="FI484" s="10"/>
      <c r="FJ484" s="10"/>
      <c r="FK484" s="10"/>
      <c r="FL484" s="10"/>
      <c r="FM484" s="10"/>
      <c r="FN484" s="10"/>
      <c r="FO484" s="10"/>
      <c r="FP484" s="10"/>
      <c r="FQ484" s="10"/>
      <c r="FR484" s="10"/>
      <c r="FS484" s="10"/>
      <c r="FT484" s="10"/>
      <c r="FU484" s="10"/>
      <c r="FV484" s="10"/>
      <c r="FW484" s="10"/>
      <c r="FX484" s="10"/>
      <c r="FY484" s="10"/>
      <c r="FZ484" s="10"/>
      <c r="GA484" s="10"/>
      <c r="GB484" s="10"/>
      <c r="GC484" s="10"/>
      <c r="GD484" s="10"/>
      <c r="GE484" s="10"/>
      <c r="GF484" s="10"/>
      <c r="GG484" s="10"/>
      <c r="GH484" s="10"/>
      <c r="GI484" s="10"/>
      <c r="GJ484" s="10"/>
      <c r="GK484" s="10"/>
      <c r="GL484" s="10"/>
      <c r="GM484" s="10"/>
      <c r="GN484" s="10"/>
      <c r="GO484" s="10"/>
      <c r="GP484" s="10"/>
      <c r="GQ484" s="10"/>
      <c r="GR484" s="10"/>
      <c r="GS484" s="10"/>
      <c r="GT484" s="10"/>
      <c r="GU484" s="10"/>
      <c r="GV484" s="10"/>
      <c r="GW484" s="10"/>
      <c r="GX484" s="10"/>
      <c r="GY484" s="10"/>
      <c r="GZ484" s="10"/>
      <c r="HA484" s="10"/>
      <c r="HB484" s="10"/>
      <c r="HC484" s="10"/>
      <c r="HD484" s="10"/>
      <c r="HE484" s="10"/>
      <c r="HF484" s="10"/>
      <c r="HG484" s="10"/>
      <c r="HH484" s="10"/>
      <c r="HI484" s="10"/>
      <c r="HJ484" s="10"/>
      <c r="HK484" s="10"/>
      <c r="HL484" s="10"/>
      <c r="HM484" s="10"/>
      <c r="HN484" s="10"/>
      <c r="HO484" s="10"/>
      <c r="HP484" s="10"/>
      <c r="HQ484" s="10"/>
      <c r="HR484" s="10"/>
      <c r="HS484" s="10"/>
      <c r="HT484" s="10"/>
      <c r="HU484" s="10"/>
      <c r="HV484" s="10"/>
      <c r="HW484" s="10"/>
      <c r="HX484" s="10"/>
      <c r="HY484" s="10"/>
      <c r="HZ484" s="10"/>
      <c r="IA484" s="10"/>
      <c r="IB484" s="10"/>
      <c r="IC484" s="10"/>
      <c r="ID484" s="10"/>
      <c r="IE484" s="10"/>
      <c r="IF484" s="10"/>
      <c r="IG484" s="10"/>
      <c r="IH484" s="10"/>
      <c r="II484" s="10"/>
      <c r="IJ484" s="10"/>
      <c r="IK484" s="10"/>
      <c r="IL484" s="10"/>
      <c r="IM484" s="10"/>
      <c r="IN484" s="10"/>
      <c r="IO484" s="10"/>
      <c r="IP484" s="10"/>
      <c r="IQ484" s="10"/>
      <c r="IR484" s="10"/>
      <c r="IS484" s="10"/>
      <c r="IT484" s="10"/>
      <c r="IU484" s="10"/>
      <c r="IV484" s="10"/>
      <c r="IW484" s="10"/>
    </row>
    <row r="485" spans="1:257">
      <c r="A485" s="34"/>
      <c r="B485" s="50"/>
      <c r="C485" s="24"/>
      <c r="D485" s="24"/>
      <c r="E485" s="24"/>
      <c r="F485" s="25"/>
      <c r="G485" s="25"/>
      <c r="H485" s="25"/>
      <c r="I485" s="25"/>
      <c r="J485" s="24"/>
      <c r="K485" s="25"/>
      <c r="L485" s="25"/>
      <c r="M485" s="25"/>
      <c r="N485" s="25"/>
      <c r="O485" s="25"/>
      <c r="P485" s="25"/>
      <c r="Q485" s="25"/>
      <c r="R485" s="24"/>
      <c r="S485" s="26">
        <f t="shared" si="31"/>
        <v>0</v>
      </c>
      <c r="T485" s="26">
        <f>COUNTIF($V$4:V485,V485)</f>
        <v>442</v>
      </c>
      <c r="U485" s="26" t="str">
        <f>IF(T485=1,COUNTIF($T$4:T485,1),"")</f>
        <v/>
      </c>
      <c r="V485" s="27" t="str">
        <f t="shared" si="33"/>
        <v/>
      </c>
      <c r="W485" s="27">
        <f t="shared" si="32"/>
        <v>0</v>
      </c>
      <c r="X485" s="28"/>
      <c r="Y485" s="27"/>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c r="DG485" s="10"/>
      <c r="DH485" s="10"/>
      <c r="DI485" s="10"/>
      <c r="DJ485" s="10"/>
      <c r="DK485" s="10"/>
      <c r="DL485" s="10"/>
      <c r="DM485" s="10"/>
      <c r="DN485" s="10"/>
      <c r="DO485" s="10"/>
      <c r="DP485" s="10"/>
      <c r="DQ485" s="10"/>
      <c r="DR485" s="10"/>
      <c r="DS485" s="10"/>
      <c r="DT485" s="10"/>
      <c r="DU485" s="10"/>
      <c r="DV485" s="10"/>
      <c r="DW485" s="10"/>
      <c r="DX485" s="10"/>
      <c r="DY485" s="10"/>
      <c r="DZ485" s="10"/>
      <c r="EA485" s="10"/>
      <c r="EB485" s="10"/>
      <c r="EC485" s="10"/>
      <c r="ED485" s="10"/>
      <c r="EE485" s="10"/>
      <c r="EF485" s="10"/>
      <c r="EG485" s="10"/>
      <c r="EH485" s="10"/>
      <c r="EI485" s="10"/>
      <c r="EJ485" s="10"/>
      <c r="EK485" s="10"/>
      <c r="EL485" s="10"/>
      <c r="EM485" s="10"/>
      <c r="EN485" s="10"/>
      <c r="EO485" s="10"/>
      <c r="EP485" s="10"/>
      <c r="EQ485" s="10"/>
      <c r="ER485" s="10"/>
      <c r="ES485" s="10"/>
      <c r="ET485" s="10"/>
      <c r="EU485" s="10"/>
      <c r="EV485" s="10"/>
      <c r="EW485" s="10"/>
      <c r="EX485" s="10"/>
      <c r="EY485" s="10"/>
      <c r="EZ485" s="10"/>
      <c r="FA485" s="10"/>
      <c r="FB485" s="10"/>
      <c r="FC485" s="10"/>
      <c r="FD485" s="10"/>
      <c r="FE485" s="10"/>
      <c r="FF485" s="10"/>
      <c r="FG485" s="10"/>
      <c r="FH485" s="10"/>
      <c r="FI485" s="10"/>
      <c r="FJ485" s="10"/>
      <c r="FK485" s="10"/>
      <c r="FL485" s="10"/>
      <c r="FM485" s="10"/>
      <c r="FN485" s="10"/>
      <c r="FO485" s="10"/>
      <c r="FP485" s="10"/>
      <c r="FQ485" s="10"/>
      <c r="FR485" s="10"/>
      <c r="FS485" s="10"/>
      <c r="FT485" s="10"/>
      <c r="FU485" s="10"/>
      <c r="FV485" s="10"/>
      <c r="FW485" s="10"/>
      <c r="FX485" s="10"/>
      <c r="FY485" s="10"/>
      <c r="FZ485" s="10"/>
      <c r="GA485" s="10"/>
      <c r="GB485" s="10"/>
      <c r="GC485" s="10"/>
      <c r="GD485" s="10"/>
      <c r="GE485" s="10"/>
      <c r="GF485" s="10"/>
      <c r="GG485" s="10"/>
      <c r="GH485" s="10"/>
      <c r="GI485" s="10"/>
      <c r="GJ485" s="10"/>
      <c r="GK485" s="10"/>
      <c r="GL485" s="10"/>
      <c r="GM485" s="10"/>
      <c r="GN485" s="10"/>
      <c r="GO485" s="10"/>
      <c r="GP485" s="10"/>
      <c r="GQ485" s="10"/>
      <c r="GR485" s="10"/>
      <c r="GS485" s="10"/>
      <c r="GT485" s="10"/>
      <c r="GU485" s="10"/>
      <c r="GV485" s="10"/>
      <c r="GW485" s="10"/>
      <c r="GX485" s="10"/>
      <c r="GY485" s="10"/>
      <c r="GZ485" s="10"/>
      <c r="HA485" s="10"/>
      <c r="HB485" s="10"/>
      <c r="HC485" s="10"/>
      <c r="HD485" s="10"/>
      <c r="HE485" s="10"/>
      <c r="HF485" s="10"/>
      <c r="HG485" s="10"/>
      <c r="HH485" s="10"/>
      <c r="HI485" s="10"/>
      <c r="HJ485" s="10"/>
      <c r="HK485" s="10"/>
      <c r="HL485" s="10"/>
      <c r="HM485" s="10"/>
      <c r="HN485" s="10"/>
      <c r="HO485" s="10"/>
      <c r="HP485" s="10"/>
      <c r="HQ485" s="10"/>
      <c r="HR485" s="10"/>
      <c r="HS485" s="10"/>
      <c r="HT485" s="10"/>
      <c r="HU485" s="10"/>
      <c r="HV485" s="10"/>
      <c r="HW485" s="10"/>
      <c r="HX485" s="10"/>
      <c r="HY485" s="10"/>
      <c r="HZ485" s="10"/>
      <c r="IA485" s="10"/>
      <c r="IB485" s="10"/>
      <c r="IC485" s="10"/>
      <c r="ID485" s="10"/>
      <c r="IE485" s="10"/>
      <c r="IF485" s="10"/>
      <c r="IG485" s="10"/>
      <c r="IH485" s="10"/>
      <c r="II485" s="10"/>
      <c r="IJ485" s="10"/>
      <c r="IK485" s="10"/>
      <c r="IL485" s="10"/>
      <c r="IM485" s="10"/>
      <c r="IN485" s="10"/>
      <c r="IO485" s="10"/>
      <c r="IP485" s="10"/>
      <c r="IQ485" s="10"/>
      <c r="IR485" s="10"/>
      <c r="IS485" s="10"/>
      <c r="IT485" s="10"/>
      <c r="IU485" s="10"/>
      <c r="IV485" s="10"/>
      <c r="IW485" s="10"/>
    </row>
    <row r="486" spans="1:257">
      <c r="A486" s="34"/>
      <c r="B486" s="50"/>
      <c r="C486" s="24"/>
      <c r="D486" s="24"/>
      <c r="E486" s="24"/>
      <c r="F486" s="25"/>
      <c r="G486" s="25"/>
      <c r="H486" s="25"/>
      <c r="I486" s="25"/>
      <c r="J486" s="24"/>
      <c r="K486" s="25"/>
      <c r="L486" s="25"/>
      <c r="M486" s="25"/>
      <c r="N486" s="25"/>
      <c r="O486" s="25"/>
      <c r="P486" s="25"/>
      <c r="Q486" s="25"/>
      <c r="R486" s="24"/>
      <c r="S486" s="26">
        <f t="shared" si="31"/>
        <v>0</v>
      </c>
      <c r="T486" s="26">
        <f>COUNTIF($V$4:V486,V486)</f>
        <v>443</v>
      </c>
      <c r="U486" s="26" t="str">
        <f>IF(T486=1,COUNTIF($T$4:T486,1),"")</f>
        <v/>
      </c>
      <c r="V486" s="27" t="str">
        <f t="shared" si="33"/>
        <v/>
      </c>
      <c r="W486" s="27">
        <f t="shared" si="32"/>
        <v>0</v>
      </c>
      <c r="X486" s="28"/>
      <c r="Y486" s="27"/>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c r="EW486" s="10"/>
      <c r="EX486" s="10"/>
      <c r="EY486" s="10"/>
      <c r="EZ486" s="10"/>
      <c r="FA486" s="10"/>
      <c r="FB486" s="10"/>
      <c r="FC486" s="10"/>
      <c r="FD486" s="10"/>
      <c r="FE486" s="10"/>
      <c r="FF486" s="10"/>
      <c r="FG486" s="10"/>
      <c r="FH486" s="10"/>
      <c r="FI486" s="10"/>
      <c r="FJ486" s="10"/>
      <c r="FK486" s="10"/>
      <c r="FL486" s="10"/>
      <c r="FM486" s="10"/>
      <c r="FN486" s="10"/>
      <c r="FO486" s="10"/>
      <c r="FP486" s="10"/>
      <c r="FQ486" s="10"/>
      <c r="FR486" s="10"/>
      <c r="FS486" s="10"/>
      <c r="FT486" s="10"/>
      <c r="FU486" s="10"/>
      <c r="FV486" s="10"/>
      <c r="FW486" s="10"/>
      <c r="FX486" s="10"/>
      <c r="FY486" s="10"/>
      <c r="FZ486" s="10"/>
      <c r="GA486" s="10"/>
      <c r="GB486" s="10"/>
      <c r="GC486" s="10"/>
      <c r="GD486" s="10"/>
      <c r="GE486" s="10"/>
      <c r="GF486" s="10"/>
      <c r="GG486" s="10"/>
      <c r="GH486" s="10"/>
      <c r="GI486" s="10"/>
      <c r="GJ486" s="10"/>
      <c r="GK486" s="10"/>
      <c r="GL486" s="10"/>
      <c r="GM486" s="10"/>
      <c r="GN486" s="10"/>
      <c r="GO486" s="10"/>
      <c r="GP486" s="10"/>
      <c r="GQ486" s="10"/>
      <c r="GR486" s="10"/>
      <c r="GS486" s="10"/>
      <c r="GT486" s="10"/>
      <c r="GU486" s="10"/>
      <c r="GV486" s="10"/>
      <c r="GW486" s="10"/>
      <c r="GX486" s="10"/>
      <c r="GY486" s="10"/>
      <c r="GZ486" s="10"/>
      <c r="HA486" s="10"/>
      <c r="HB486" s="10"/>
      <c r="HC486" s="10"/>
      <c r="HD486" s="10"/>
      <c r="HE486" s="10"/>
      <c r="HF486" s="10"/>
      <c r="HG486" s="10"/>
      <c r="HH486" s="10"/>
      <c r="HI486" s="10"/>
      <c r="HJ486" s="10"/>
      <c r="HK486" s="10"/>
      <c r="HL486" s="10"/>
      <c r="HM486" s="10"/>
      <c r="HN486" s="10"/>
      <c r="HO486" s="10"/>
      <c r="HP486" s="10"/>
      <c r="HQ486" s="10"/>
      <c r="HR486" s="10"/>
      <c r="HS486" s="10"/>
      <c r="HT486" s="10"/>
      <c r="HU486" s="10"/>
      <c r="HV486" s="10"/>
      <c r="HW486" s="10"/>
      <c r="HX486" s="10"/>
      <c r="HY486" s="10"/>
      <c r="HZ486" s="10"/>
      <c r="IA486" s="10"/>
      <c r="IB486" s="10"/>
      <c r="IC486" s="10"/>
      <c r="ID486" s="10"/>
      <c r="IE486" s="10"/>
      <c r="IF486" s="10"/>
      <c r="IG486" s="10"/>
      <c r="IH486" s="10"/>
      <c r="II486" s="10"/>
      <c r="IJ486" s="10"/>
      <c r="IK486" s="10"/>
      <c r="IL486" s="10"/>
      <c r="IM486" s="10"/>
      <c r="IN486" s="10"/>
      <c r="IO486" s="10"/>
      <c r="IP486" s="10"/>
      <c r="IQ486" s="10"/>
      <c r="IR486" s="10"/>
      <c r="IS486" s="10"/>
      <c r="IT486" s="10"/>
      <c r="IU486" s="10"/>
      <c r="IV486" s="10"/>
      <c r="IW486" s="10"/>
    </row>
    <row r="487" spans="1:257">
      <c r="A487" s="34"/>
      <c r="B487" s="50"/>
      <c r="C487" s="24"/>
      <c r="D487" s="24"/>
      <c r="E487" s="24"/>
      <c r="F487" s="25"/>
      <c r="G487" s="25"/>
      <c r="H487" s="25"/>
      <c r="I487" s="25"/>
      <c r="J487" s="24"/>
      <c r="K487" s="25"/>
      <c r="L487" s="25"/>
      <c r="M487" s="25"/>
      <c r="N487" s="25"/>
      <c r="O487" s="25"/>
      <c r="P487" s="25"/>
      <c r="Q487" s="25"/>
      <c r="R487" s="24"/>
      <c r="S487" s="26">
        <f t="shared" si="31"/>
        <v>0</v>
      </c>
      <c r="T487" s="26">
        <f>COUNTIF($V$4:V487,V487)</f>
        <v>444</v>
      </c>
      <c r="U487" s="26" t="str">
        <f>IF(T487=1,COUNTIF($T$4:T487,1),"")</f>
        <v/>
      </c>
      <c r="V487" s="27" t="str">
        <f t="shared" si="33"/>
        <v/>
      </c>
      <c r="W487" s="27">
        <f t="shared" si="32"/>
        <v>0</v>
      </c>
      <c r="X487" s="28"/>
      <c r="Y487" s="27"/>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c r="EW487" s="10"/>
      <c r="EX487" s="10"/>
      <c r="EY487" s="10"/>
      <c r="EZ487" s="10"/>
      <c r="FA487" s="10"/>
      <c r="FB487" s="10"/>
      <c r="FC487" s="10"/>
      <c r="FD487" s="10"/>
      <c r="FE487" s="10"/>
      <c r="FF487" s="10"/>
      <c r="FG487" s="10"/>
      <c r="FH487" s="10"/>
      <c r="FI487" s="10"/>
      <c r="FJ487" s="10"/>
      <c r="FK487" s="10"/>
      <c r="FL487" s="10"/>
      <c r="FM487" s="10"/>
      <c r="FN487" s="10"/>
      <c r="FO487" s="10"/>
      <c r="FP487" s="10"/>
      <c r="FQ487" s="10"/>
      <c r="FR487" s="10"/>
      <c r="FS487" s="10"/>
      <c r="FT487" s="10"/>
      <c r="FU487" s="10"/>
      <c r="FV487" s="10"/>
      <c r="FW487" s="10"/>
      <c r="FX487" s="10"/>
      <c r="FY487" s="10"/>
      <c r="FZ487" s="10"/>
      <c r="GA487" s="10"/>
      <c r="GB487" s="10"/>
      <c r="GC487" s="10"/>
      <c r="GD487" s="10"/>
      <c r="GE487" s="10"/>
      <c r="GF487" s="10"/>
      <c r="GG487" s="10"/>
      <c r="GH487" s="10"/>
      <c r="GI487" s="10"/>
      <c r="GJ487" s="10"/>
      <c r="GK487" s="10"/>
      <c r="GL487" s="10"/>
      <c r="GM487" s="10"/>
      <c r="GN487" s="10"/>
      <c r="GO487" s="10"/>
      <c r="GP487" s="10"/>
      <c r="GQ487" s="10"/>
      <c r="GR487" s="10"/>
      <c r="GS487" s="10"/>
      <c r="GT487" s="10"/>
      <c r="GU487" s="10"/>
      <c r="GV487" s="10"/>
      <c r="GW487" s="10"/>
      <c r="GX487" s="10"/>
      <c r="GY487" s="10"/>
      <c r="GZ487" s="10"/>
      <c r="HA487" s="10"/>
      <c r="HB487" s="10"/>
      <c r="HC487" s="10"/>
      <c r="HD487" s="10"/>
      <c r="HE487" s="10"/>
      <c r="HF487" s="10"/>
      <c r="HG487" s="10"/>
      <c r="HH487" s="10"/>
      <c r="HI487" s="10"/>
      <c r="HJ487" s="10"/>
      <c r="HK487" s="10"/>
      <c r="HL487" s="10"/>
      <c r="HM487" s="10"/>
      <c r="HN487" s="10"/>
      <c r="HO487" s="10"/>
      <c r="HP487" s="10"/>
      <c r="HQ487" s="10"/>
      <c r="HR487" s="10"/>
      <c r="HS487" s="10"/>
      <c r="HT487" s="10"/>
      <c r="HU487" s="10"/>
      <c r="HV487" s="10"/>
      <c r="HW487" s="10"/>
      <c r="HX487" s="10"/>
      <c r="HY487" s="10"/>
      <c r="HZ487" s="10"/>
      <c r="IA487" s="10"/>
      <c r="IB487" s="10"/>
      <c r="IC487" s="10"/>
      <c r="ID487" s="10"/>
      <c r="IE487" s="10"/>
      <c r="IF487" s="10"/>
      <c r="IG487" s="10"/>
      <c r="IH487" s="10"/>
      <c r="II487" s="10"/>
      <c r="IJ487" s="10"/>
      <c r="IK487" s="10"/>
      <c r="IL487" s="10"/>
      <c r="IM487" s="10"/>
      <c r="IN487" s="10"/>
      <c r="IO487" s="10"/>
      <c r="IP487" s="10"/>
      <c r="IQ487" s="10"/>
      <c r="IR487" s="10"/>
      <c r="IS487" s="10"/>
      <c r="IT487" s="10"/>
      <c r="IU487" s="10"/>
      <c r="IV487" s="10"/>
      <c r="IW487" s="10"/>
    </row>
    <row r="488" spans="1:257">
      <c r="A488" s="34"/>
      <c r="B488" s="50"/>
      <c r="C488" s="24"/>
      <c r="D488" s="24"/>
      <c r="E488" s="24"/>
      <c r="F488" s="25"/>
      <c r="G488" s="25"/>
      <c r="H488" s="25"/>
      <c r="I488" s="25"/>
      <c r="J488" s="24"/>
      <c r="K488" s="25"/>
      <c r="L488" s="25"/>
      <c r="M488" s="25"/>
      <c r="N488" s="25"/>
      <c r="O488" s="25"/>
      <c r="P488" s="25"/>
      <c r="Q488" s="25"/>
      <c r="R488" s="24"/>
      <c r="S488" s="26">
        <f t="shared" si="31"/>
        <v>0</v>
      </c>
      <c r="T488" s="26">
        <f>COUNTIF($V$4:V488,V488)</f>
        <v>445</v>
      </c>
      <c r="U488" s="26" t="str">
        <f>IF(T488=1,COUNTIF($T$4:T488,1),"")</f>
        <v/>
      </c>
      <c r="V488" s="27" t="str">
        <f t="shared" si="33"/>
        <v/>
      </c>
      <c r="W488" s="27">
        <f t="shared" si="32"/>
        <v>0</v>
      </c>
      <c r="X488" s="28"/>
      <c r="Y488" s="27"/>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c r="EW488" s="10"/>
      <c r="EX488" s="10"/>
      <c r="EY488" s="10"/>
      <c r="EZ488" s="10"/>
      <c r="FA488" s="10"/>
      <c r="FB488" s="10"/>
      <c r="FC488" s="10"/>
      <c r="FD488" s="10"/>
      <c r="FE488" s="10"/>
      <c r="FF488" s="10"/>
      <c r="FG488" s="10"/>
      <c r="FH488" s="10"/>
      <c r="FI488" s="10"/>
      <c r="FJ488" s="10"/>
      <c r="FK488" s="10"/>
      <c r="FL488" s="10"/>
      <c r="FM488" s="10"/>
      <c r="FN488" s="10"/>
      <c r="FO488" s="10"/>
      <c r="FP488" s="10"/>
      <c r="FQ488" s="10"/>
      <c r="FR488" s="10"/>
      <c r="FS488" s="10"/>
      <c r="FT488" s="10"/>
      <c r="FU488" s="10"/>
      <c r="FV488" s="10"/>
      <c r="FW488" s="10"/>
      <c r="FX488" s="10"/>
      <c r="FY488" s="10"/>
      <c r="FZ488" s="10"/>
      <c r="GA488" s="10"/>
      <c r="GB488" s="10"/>
      <c r="GC488" s="10"/>
      <c r="GD488" s="10"/>
      <c r="GE488" s="10"/>
      <c r="GF488" s="10"/>
      <c r="GG488" s="10"/>
      <c r="GH488" s="10"/>
      <c r="GI488" s="10"/>
      <c r="GJ488" s="10"/>
      <c r="GK488" s="10"/>
      <c r="GL488" s="10"/>
      <c r="GM488" s="10"/>
      <c r="GN488" s="10"/>
      <c r="GO488" s="10"/>
      <c r="GP488" s="10"/>
      <c r="GQ488" s="10"/>
      <c r="GR488" s="10"/>
      <c r="GS488" s="10"/>
      <c r="GT488" s="10"/>
      <c r="GU488" s="10"/>
      <c r="GV488" s="10"/>
      <c r="GW488" s="10"/>
      <c r="GX488" s="10"/>
      <c r="GY488" s="10"/>
      <c r="GZ488" s="10"/>
      <c r="HA488" s="10"/>
      <c r="HB488" s="10"/>
      <c r="HC488" s="10"/>
      <c r="HD488" s="10"/>
      <c r="HE488" s="10"/>
      <c r="HF488" s="10"/>
      <c r="HG488" s="10"/>
      <c r="HH488" s="10"/>
      <c r="HI488" s="10"/>
      <c r="HJ488" s="10"/>
      <c r="HK488" s="10"/>
      <c r="HL488" s="10"/>
      <c r="HM488" s="10"/>
      <c r="HN488" s="10"/>
      <c r="HO488" s="10"/>
      <c r="HP488" s="10"/>
      <c r="HQ488" s="10"/>
      <c r="HR488" s="10"/>
      <c r="HS488" s="10"/>
      <c r="HT488" s="10"/>
      <c r="HU488" s="10"/>
      <c r="HV488" s="10"/>
      <c r="HW488" s="10"/>
      <c r="HX488" s="10"/>
      <c r="HY488" s="10"/>
      <c r="HZ488" s="10"/>
      <c r="IA488" s="10"/>
      <c r="IB488" s="10"/>
      <c r="IC488" s="10"/>
      <c r="ID488" s="10"/>
      <c r="IE488" s="10"/>
      <c r="IF488" s="10"/>
      <c r="IG488" s="10"/>
      <c r="IH488" s="10"/>
      <c r="II488" s="10"/>
      <c r="IJ488" s="10"/>
      <c r="IK488" s="10"/>
      <c r="IL488" s="10"/>
      <c r="IM488" s="10"/>
      <c r="IN488" s="10"/>
      <c r="IO488" s="10"/>
      <c r="IP488" s="10"/>
      <c r="IQ488" s="10"/>
      <c r="IR488" s="10"/>
      <c r="IS488" s="10"/>
      <c r="IT488" s="10"/>
      <c r="IU488" s="10"/>
      <c r="IV488" s="10"/>
      <c r="IW488" s="10"/>
    </row>
    <row r="489" spans="1:257">
      <c r="A489" s="34"/>
      <c r="B489" s="50"/>
      <c r="C489" s="24"/>
      <c r="D489" s="24"/>
      <c r="E489" s="24"/>
      <c r="F489" s="25"/>
      <c r="G489" s="25"/>
      <c r="H489" s="25"/>
      <c r="I489" s="25"/>
      <c r="J489" s="24"/>
      <c r="K489" s="25"/>
      <c r="L489" s="25"/>
      <c r="M489" s="25"/>
      <c r="N489" s="25"/>
      <c r="O489" s="25"/>
      <c r="P489" s="25"/>
      <c r="Q489" s="25"/>
      <c r="R489" s="24"/>
      <c r="S489" s="26">
        <f t="shared" si="31"/>
        <v>0</v>
      </c>
      <c r="T489" s="26">
        <f>COUNTIF($V$4:V489,V489)</f>
        <v>446</v>
      </c>
      <c r="U489" s="26" t="str">
        <f>IF(T489=1,COUNTIF($T$4:T489,1),"")</f>
        <v/>
      </c>
      <c r="V489" s="27" t="str">
        <f t="shared" si="33"/>
        <v/>
      </c>
      <c r="W489" s="27">
        <f t="shared" si="32"/>
        <v>0</v>
      </c>
      <c r="X489" s="28"/>
      <c r="Y489" s="27"/>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c r="EW489" s="10"/>
      <c r="EX489" s="10"/>
      <c r="EY489" s="10"/>
      <c r="EZ489" s="10"/>
      <c r="FA489" s="10"/>
      <c r="FB489" s="10"/>
      <c r="FC489" s="10"/>
      <c r="FD489" s="10"/>
      <c r="FE489" s="10"/>
      <c r="FF489" s="10"/>
      <c r="FG489" s="10"/>
      <c r="FH489" s="10"/>
      <c r="FI489" s="10"/>
      <c r="FJ489" s="10"/>
      <c r="FK489" s="10"/>
      <c r="FL489" s="10"/>
      <c r="FM489" s="10"/>
      <c r="FN489" s="10"/>
      <c r="FO489" s="10"/>
      <c r="FP489" s="10"/>
      <c r="FQ489" s="10"/>
      <c r="FR489" s="10"/>
      <c r="FS489" s="10"/>
      <c r="FT489" s="10"/>
      <c r="FU489" s="10"/>
      <c r="FV489" s="10"/>
      <c r="FW489" s="10"/>
      <c r="FX489" s="10"/>
      <c r="FY489" s="10"/>
      <c r="FZ489" s="10"/>
      <c r="GA489" s="10"/>
      <c r="GB489" s="10"/>
      <c r="GC489" s="10"/>
      <c r="GD489" s="10"/>
      <c r="GE489" s="10"/>
      <c r="GF489" s="10"/>
      <c r="GG489" s="10"/>
      <c r="GH489" s="10"/>
      <c r="GI489" s="10"/>
      <c r="GJ489" s="10"/>
      <c r="GK489" s="10"/>
      <c r="GL489" s="10"/>
      <c r="GM489" s="10"/>
      <c r="GN489" s="10"/>
      <c r="GO489" s="10"/>
      <c r="GP489" s="10"/>
      <c r="GQ489" s="10"/>
      <c r="GR489" s="10"/>
      <c r="GS489" s="10"/>
      <c r="GT489" s="10"/>
      <c r="GU489" s="10"/>
      <c r="GV489" s="10"/>
      <c r="GW489" s="10"/>
      <c r="GX489" s="10"/>
      <c r="GY489" s="10"/>
      <c r="GZ489" s="10"/>
      <c r="HA489" s="10"/>
      <c r="HB489" s="10"/>
      <c r="HC489" s="10"/>
      <c r="HD489" s="10"/>
      <c r="HE489" s="10"/>
      <c r="HF489" s="10"/>
      <c r="HG489" s="10"/>
      <c r="HH489" s="10"/>
      <c r="HI489" s="10"/>
      <c r="HJ489" s="10"/>
      <c r="HK489" s="10"/>
      <c r="HL489" s="10"/>
      <c r="HM489" s="10"/>
      <c r="HN489" s="10"/>
      <c r="HO489" s="10"/>
      <c r="HP489" s="10"/>
      <c r="HQ489" s="10"/>
      <c r="HR489" s="10"/>
      <c r="HS489" s="10"/>
      <c r="HT489" s="10"/>
      <c r="HU489" s="10"/>
      <c r="HV489" s="10"/>
      <c r="HW489" s="10"/>
      <c r="HX489" s="10"/>
      <c r="HY489" s="10"/>
      <c r="HZ489" s="10"/>
      <c r="IA489" s="10"/>
      <c r="IB489" s="10"/>
      <c r="IC489" s="10"/>
      <c r="ID489" s="10"/>
      <c r="IE489" s="10"/>
      <c r="IF489" s="10"/>
      <c r="IG489" s="10"/>
      <c r="IH489" s="10"/>
      <c r="II489" s="10"/>
      <c r="IJ489" s="10"/>
      <c r="IK489" s="10"/>
      <c r="IL489" s="10"/>
      <c r="IM489" s="10"/>
      <c r="IN489" s="10"/>
      <c r="IO489" s="10"/>
      <c r="IP489" s="10"/>
      <c r="IQ489" s="10"/>
      <c r="IR489" s="10"/>
      <c r="IS489" s="10"/>
      <c r="IT489" s="10"/>
      <c r="IU489" s="10"/>
      <c r="IV489" s="10"/>
      <c r="IW489" s="10"/>
    </row>
    <row r="490" spans="1:257">
      <c r="A490" s="34"/>
      <c r="B490" s="50"/>
      <c r="C490" s="24"/>
      <c r="D490" s="24"/>
      <c r="E490" s="24"/>
      <c r="F490" s="25"/>
      <c r="G490" s="25"/>
      <c r="H490" s="25"/>
      <c r="I490" s="25"/>
      <c r="J490" s="24"/>
      <c r="K490" s="25"/>
      <c r="L490" s="25"/>
      <c r="M490" s="25"/>
      <c r="N490" s="25"/>
      <c r="O490" s="25"/>
      <c r="P490" s="25"/>
      <c r="Q490" s="25"/>
      <c r="R490" s="24"/>
      <c r="S490" s="26">
        <f t="shared" si="31"/>
        <v>0</v>
      </c>
      <c r="T490" s="26">
        <f>COUNTIF($V$4:V490,V490)</f>
        <v>447</v>
      </c>
      <c r="U490" s="26" t="str">
        <f>IF(T490=1,COUNTIF($T$4:T490,1),"")</f>
        <v/>
      </c>
      <c r="V490" s="27" t="str">
        <f t="shared" si="33"/>
        <v/>
      </c>
      <c r="W490" s="27">
        <f t="shared" si="32"/>
        <v>0</v>
      </c>
      <c r="X490" s="28"/>
      <c r="Y490" s="27"/>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0"/>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c r="EW490" s="10"/>
      <c r="EX490" s="10"/>
      <c r="EY490" s="10"/>
      <c r="EZ490" s="10"/>
      <c r="FA490" s="10"/>
      <c r="FB490" s="10"/>
      <c r="FC490" s="10"/>
      <c r="FD490" s="10"/>
      <c r="FE490" s="10"/>
      <c r="FF490" s="10"/>
      <c r="FG490" s="10"/>
      <c r="FH490" s="10"/>
      <c r="FI490" s="10"/>
      <c r="FJ490" s="10"/>
      <c r="FK490" s="10"/>
      <c r="FL490" s="10"/>
      <c r="FM490" s="10"/>
      <c r="FN490" s="10"/>
      <c r="FO490" s="10"/>
      <c r="FP490" s="10"/>
      <c r="FQ490" s="10"/>
      <c r="FR490" s="10"/>
      <c r="FS490" s="10"/>
      <c r="FT490" s="10"/>
      <c r="FU490" s="10"/>
      <c r="FV490" s="10"/>
      <c r="FW490" s="10"/>
      <c r="FX490" s="10"/>
      <c r="FY490" s="10"/>
      <c r="FZ490" s="10"/>
      <c r="GA490" s="10"/>
      <c r="GB490" s="10"/>
      <c r="GC490" s="10"/>
      <c r="GD490" s="10"/>
      <c r="GE490" s="10"/>
      <c r="GF490" s="10"/>
      <c r="GG490" s="10"/>
      <c r="GH490" s="10"/>
      <c r="GI490" s="10"/>
      <c r="GJ490" s="10"/>
      <c r="GK490" s="10"/>
      <c r="GL490" s="10"/>
      <c r="GM490" s="10"/>
      <c r="GN490" s="10"/>
      <c r="GO490" s="10"/>
      <c r="GP490" s="10"/>
      <c r="GQ490" s="10"/>
      <c r="GR490" s="10"/>
      <c r="GS490" s="10"/>
      <c r="GT490" s="10"/>
      <c r="GU490" s="10"/>
      <c r="GV490" s="10"/>
      <c r="GW490" s="10"/>
      <c r="GX490" s="10"/>
      <c r="GY490" s="10"/>
      <c r="GZ490" s="10"/>
      <c r="HA490" s="10"/>
      <c r="HB490" s="10"/>
      <c r="HC490" s="10"/>
      <c r="HD490" s="10"/>
      <c r="HE490" s="10"/>
      <c r="HF490" s="10"/>
      <c r="HG490" s="10"/>
      <c r="HH490" s="10"/>
      <c r="HI490" s="10"/>
      <c r="HJ490" s="10"/>
      <c r="HK490" s="10"/>
      <c r="HL490" s="10"/>
      <c r="HM490" s="10"/>
      <c r="HN490" s="10"/>
      <c r="HO490" s="10"/>
      <c r="HP490" s="10"/>
      <c r="HQ490" s="10"/>
      <c r="HR490" s="10"/>
      <c r="HS490" s="10"/>
      <c r="HT490" s="10"/>
      <c r="HU490" s="10"/>
      <c r="HV490" s="10"/>
      <c r="HW490" s="10"/>
      <c r="HX490" s="10"/>
      <c r="HY490" s="10"/>
      <c r="HZ490" s="10"/>
      <c r="IA490" s="10"/>
      <c r="IB490" s="10"/>
      <c r="IC490" s="10"/>
      <c r="ID490" s="10"/>
      <c r="IE490" s="10"/>
      <c r="IF490" s="10"/>
      <c r="IG490" s="10"/>
      <c r="IH490" s="10"/>
      <c r="II490" s="10"/>
      <c r="IJ490" s="10"/>
      <c r="IK490" s="10"/>
      <c r="IL490" s="10"/>
      <c r="IM490" s="10"/>
      <c r="IN490" s="10"/>
      <c r="IO490" s="10"/>
      <c r="IP490" s="10"/>
      <c r="IQ490" s="10"/>
      <c r="IR490" s="10"/>
      <c r="IS490" s="10"/>
      <c r="IT490" s="10"/>
      <c r="IU490" s="10"/>
      <c r="IV490" s="10"/>
      <c r="IW490" s="10"/>
    </row>
    <row r="491" spans="1:257">
      <c r="A491" s="34"/>
      <c r="B491" s="50"/>
      <c r="C491" s="24"/>
      <c r="D491" s="24"/>
      <c r="E491" s="24"/>
      <c r="F491" s="25"/>
      <c r="G491" s="25"/>
      <c r="H491" s="25"/>
      <c r="I491" s="25"/>
      <c r="J491" s="24"/>
      <c r="K491" s="25"/>
      <c r="L491" s="25"/>
      <c r="M491" s="25"/>
      <c r="N491" s="25"/>
      <c r="O491" s="25"/>
      <c r="P491" s="25"/>
      <c r="Q491" s="25"/>
      <c r="R491" s="24"/>
      <c r="S491" s="26">
        <f t="shared" si="31"/>
        <v>0</v>
      </c>
      <c r="T491" s="26">
        <f>COUNTIF($V$4:V491,V491)</f>
        <v>448</v>
      </c>
      <c r="U491" s="26" t="str">
        <f>IF(T491=1,COUNTIF($T$4:T491,1),"")</f>
        <v/>
      </c>
      <c r="V491" s="27" t="str">
        <f t="shared" si="33"/>
        <v/>
      </c>
      <c r="W491" s="27">
        <f t="shared" si="32"/>
        <v>0</v>
      </c>
      <c r="X491" s="28"/>
      <c r="Y491" s="27"/>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c r="DH491" s="10"/>
      <c r="DI491" s="10"/>
      <c r="DJ491" s="10"/>
      <c r="DK491" s="10"/>
      <c r="DL491" s="10"/>
      <c r="DM491" s="10"/>
      <c r="DN491" s="10"/>
      <c r="DO491" s="10"/>
      <c r="DP491" s="10"/>
      <c r="DQ491" s="10"/>
      <c r="DR491" s="10"/>
      <c r="DS491" s="10"/>
      <c r="DT491" s="10"/>
      <c r="DU491" s="10"/>
      <c r="DV491" s="10"/>
      <c r="DW491" s="10"/>
      <c r="DX491" s="10"/>
      <c r="DY491" s="10"/>
      <c r="DZ491" s="10"/>
      <c r="EA491" s="10"/>
      <c r="EB491" s="10"/>
      <c r="EC491" s="10"/>
      <c r="ED491" s="10"/>
      <c r="EE491" s="10"/>
      <c r="EF491" s="10"/>
      <c r="EG491" s="10"/>
      <c r="EH491" s="10"/>
      <c r="EI491" s="10"/>
      <c r="EJ491" s="10"/>
      <c r="EK491" s="10"/>
      <c r="EL491" s="10"/>
      <c r="EM491" s="10"/>
      <c r="EN491" s="10"/>
      <c r="EO491" s="10"/>
      <c r="EP491" s="10"/>
      <c r="EQ491" s="10"/>
      <c r="ER491" s="10"/>
      <c r="ES491" s="10"/>
      <c r="ET491" s="10"/>
      <c r="EU491" s="10"/>
      <c r="EV491" s="10"/>
      <c r="EW491" s="10"/>
      <c r="EX491" s="10"/>
      <c r="EY491" s="10"/>
      <c r="EZ491" s="10"/>
      <c r="FA491" s="10"/>
      <c r="FB491" s="10"/>
      <c r="FC491" s="10"/>
      <c r="FD491" s="10"/>
      <c r="FE491" s="10"/>
      <c r="FF491" s="10"/>
      <c r="FG491" s="10"/>
      <c r="FH491" s="10"/>
      <c r="FI491" s="10"/>
      <c r="FJ491" s="10"/>
      <c r="FK491" s="10"/>
      <c r="FL491" s="10"/>
      <c r="FM491" s="10"/>
      <c r="FN491" s="10"/>
      <c r="FO491" s="10"/>
      <c r="FP491" s="10"/>
      <c r="FQ491" s="10"/>
      <c r="FR491" s="10"/>
      <c r="FS491" s="10"/>
      <c r="FT491" s="10"/>
      <c r="FU491" s="10"/>
      <c r="FV491" s="10"/>
      <c r="FW491" s="10"/>
      <c r="FX491" s="10"/>
      <c r="FY491" s="10"/>
      <c r="FZ491" s="10"/>
      <c r="GA491" s="10"/>
      <c r="GB491" s="10"/>
      <c r="GC491" s="10"/>
      <c r="GD491" s="10"/>
      <c r="GE491" s="10"/>
      <c r="GF491" s="10"/>
      <c r="GG491" s="10"/>
      <c r="GH491" s="10"/>
      <c r="GI491" s="10"/>
      <c r="GJ491" s="10"/>
      <c r="GK491" s="10"/>
      <c r="GL491" s="10"/>
      <c r="GM491" s="10"/>
      <c r="GN491" s="10"/>
      <c r="GO491" s="10"/>
      <c r="GP491" s="10"/>
      <c r="GQ491" s="10"/>
      <c r="GR491" s="10"/>
      <c r="GS491" s="10"/>
      <c r="GT491" s="10"/>
      <c r="GU491" s="10"/>
      <c r="GV491" s="10"/>
      <c r="GW491" s="10"/>
      <c r="GX491" s="10"/>
      <c r="GY491" s="10"/>
      <c r="GZ491" s="10"/>
      <c r="HA491" s="10"/>
      <c r="HB491" s="10"/>
      <c r="HC491" s="10"/>
      <c r="HD491" s="10"/>
      <c r="HE491" s="10"/>
      <c r="HF491" s="10"/>
      <c r="HG491" s="10"/>
      <c r="HH491" s="10"/>
      <c r="HI491" s="10"/>
      <c r="HJ491" s="10"/>
      <c r="HK491" s="10"/>
      <c r="HL491" s="10"/>
      <c r="HM491" s="10"/>
      <c r="HN491" s="10"/>
      <c r="HO491" s="10"/>
      <c r="HP491" s="10"/>
      <c r="HQ491" s="10"/>
      <c r="HR491" s="10"/>
      <c r="HS491" s="10"/>
      <c r="HT491" s="10"/>
      <c r="HU491" s="10"/>
      <c r="HV491" s="10"/>
      <c r="HW491" s="10"/>
      <c r="HX491" s="10"/>
      <c r="HY491" s="10"/>
      <c r="HZ491" s="10"/>
      <c r="IA491" s="10"/>
      <c r="IB491" s="10"/>
      <c r="IC491" s="10"/>
      <c r="ID491" s="10"/>
      <c r="IE491" s="10"/>
      <c r="IF491" s="10"/>
      <c r="IG491" s="10"/>
      <c r="IH491" s="10"/>
      <c r="II491" s="10"/>
      <c r="IJ491" s="10"/>
      <c r="IK491" s="10"/>
      <c r="IL491" s="10"/>
      <c r="IM491" s="10"/>
      <c r="IN491" s="10"/>
      <c r="IO491" s="10"/>
      <c r="IP491" s="10"/>
      <c r="IQ491" s="10"/>
      <c r="IR491" s="10"/>
      <c r="IS491" s="10"/>
      <c r="IT491" s="10"/>
      <c r="IU491" s="10"/>
      <c r="IV491" s="10"/>
      <c r="IW491" s="10"/>
    </row>
    <row r="492" spans="1:257">
      <c r="A492" s="34"/>
      <c r="B492" s="50"/>
      <c r="C492" s="24"/>
      <c r="D492" s="24"/>
      <c r="E492" s="24"/>
      <c r="F492" s="25"/>
      <c r="G492" s="25"/>
      <c r="H492" s="25"/>
      <c r="I492" s="25"/>
      <c r="J492" s="24"/>
      <c r="K492" s="25"/>
      <c r="L492" s="25"/>
      <c r="M492" s="25"/>
      <c r="N492" s="25"/>
      <c r="O492" s="25"/>
      <c r="P492" s="25"/>
      <c r="Q492" s="25"/>
      <c r="R492" s="24"/>
      <c r="S492" s="26">
        <f t="shared" si="31"/>
        <v>0</v>
      </c>
      <c r="T492" s="26">
        <f>COUNTIF($V$4:V492,V492)</f>
        <v>449</v>
      </c>
      <c r="U492" s="26" t="str">
        <f>IF(T492=1,COUNTIF($T$4:T492,1),"")</f>
        <v/>
      </c>
      <c r="V492" s="27" t="str">
        <f t="shared" si="33"/>
        <v/>
      </c>
      <c r="W492" s="27">
        <f t="shared" si="32"/>
        <v>0</v>
      </c>
      <c r="X492" s="28"/>
      <c r="Y492" s="27"/>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c r="EW492" s="10"/>
      <c r="EX492" s="10"/>
      <c r="EY492" s="10"/>
      <c r="EZ492" s="10"/>
      <c r="FA492" s="10"/>
      <c r="FB492" s="10"/>
      <c r="FC492" s="10"/>
      <c r="FD492" s="10"/>
      <c r="FE492" s="10"/>
      <c r="FF492" s="10"/>
      <c r="FG492" s="10"/>
      <c r="FH492" s="10"/>
      <c r="FI492" s="10"/>
      <c r="FJ492" s="10"/>
      <c r="FK492" s="10"/>
      <c r="FL492" s="10"/>
      <c r="FM492" s="10"/>
      <c r="FN492" s="10"/>
      <c r="FO492" s="10"/>
      <c r="FP492" s="10"/>
      <c r="FQ492" s="10"/>
      <c r="FR492" s="10"/>
      <c r="FS492" s="10"/>
      <c r="FT492" s="10"/>
      <c r="FU492" s="10"/>
      <c r="FV492" s="10"/>
      <c r="FW492" s="10"/>
      <c r="FX492" s="10"/>
      <c r="FY492" s="10"/>
      <c r="FZ492" s="10"/>
      <c r="GA492" s="10"/>
      <c r="GB492" s="10"/>
      <c r="GC492" s="10"/>
      <c r="GD492" s="10"/>
      <c r="GE492" s="10"/>
      <c r="GF492" s="10"/>
      <c r="GG492" s="10"/>
      <c r="GH492" s="10"/>
      <c r="GI492" s="10"/>
      <c r="GJ492" s="10"/>
      <c r="GK492" s="10"/>
      <c r="GL492" s="10"/>
      <c r="GM492" s="10"/>
      <c r="GN492" s="10"/>
      <c r="GO492" s="10"/>
      <c r="GP492" s="10"/>
      <c r="GQ492" s="10"/>
      <c r="GR492" s="10"/>
      <c r="GS492" s="10"/>
      <c r="GT492" s="10"/>
      <c r="GU492" s="10"/>
      <c r="GV492" s="10"/>
      <c r="GW492" s="10"/>
      <c r="GX492" s="10"/>
      <c r="GY492" s="10"/>
      <c r="GZ492" s="10"/>
      <c r="HA492" s="10"/>
      <c r="HB492" s="10"/>
      <c r="HC492" s="10"/>
      <c r="HD492" s="10"/>
      <c r="HE492" s="10"/>
      <c r="HF492" s="10"/>
      <c r="HG492" s="10"/>
      <c r="HH492" s="10"/>
      <c r="HI492" s="10"/>
      <c r="HJ492" s="10"/>
      <c r="HK492" s="10"/>
      <c r="HL492" s="10"/>
      <c r="HM492" s="10"/>
      <c r="HN492" s="10"/>
      <c r="HO492" s="10"/>
      <c r="HP492" s="10"/>
      <c r="HQ492" s="10"/>
      <c r="HR492" s="10"/>
      <c r="HS492" s="10"/>
      <c r="HT492" s="10"/>
      <c r="HU492" s="10"/>
      <c r="HV492" s="10"/>
      <c r="HW492" s="10"/>
      <c r="HX492" s="10"/>
      <c r="HY492" s="10"/>
      <c r="HZ492" s="10"/>
      <c r="IA492" s="10"/>
      <c r="IB492" s="10"/>
      <c r="IC492" s="10"/>
      <c r="ID492" s="10"/>
      <c r="IE492" s="10"/>
      <c r="IF492" s="10"/>
      <c r="IG492" s="10"/>
      <c r="IH492" s="10"/>
      <c r="II492" s="10"/>
      <c r="IJ492" s="10"/>
      <c r="IK492" s="10"/>
      <c r="IL492" s="10"/>
      <c r="IM492" s="10"/>
      <c r="IN492" s="10"/>
      <c r="IO492" s="10"/>
      <c r="IP492" s="10"/>
      <c r="IQ492" s="10"/>
      <c r="IR492" s="10"/>
      <c r="IS492" s="10"/>
      <c r="IT492" s="10"/>
      <c r="IU492" s="10"/>
      <c r="IV492" s="10"/>
      <c r="IW492" s="10"/>
    </row>
    <row r="493" spans="1:257">
      <c r="A493" s="34"/>
      <c r="B493" s="50"/>
      <c r="C493" s="24"/>
      <c r="D493" s="24"/>
      <c r="E493" s="24"/>
      <c r="F493" s="25"/>
      <c r="G493" s="25"/>
      <c r="H493" s="25"/>
      <c r="I493" s="25"/>
      <c r="J493" s="24"/>
      <c r="K493" s="25"/>
      <c r="L493" s="25"/>
      <c r="M493" s="25"/>
      <c r="N493" s="25"/>
      <c r="O493" s="25"/>
      <c r="P493" s="25"/>
      <c r="Q493" s="25"/>
      <c r="R493" s="24"/>
      <c r="S493" s="26">
        <f t="shared" si="31"/>
        <v>0</v>
      </c>
      <c r="T493" s="26">
        <f>COUNTIF($V$4:V493,V493)</f>
        <v>450</v>
      </c>
      <c r="U493" s="26" t="str">
        <f>IF(T493=1,COUNTIF($T$4:T493,1),"")</f>
        <v/>
      </c>
      <c r="V493" s="27" t="str">
        <f t="shared" si="33"/>
        <v/>
      </c>
      <c r="W493" s="27">
        <f t="shared" si="32"/>
        <v>0</v>
      </c>
      <c r="X493" s="28"/>
      <c r="Y493" s="27"/>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0"/>
      <c r="DJ493" s="10"/>
      <c r="DK493" s="10"/>
      <c r="DL493" s="10"/>
      <c r="DM493" s="10"/>
      <c r="DN493" s="10"/>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c r="EW493" s="10"/>
      <c r="EX493" s="10"/>
      <c r="EY493" s="10"/>
      <c r="EZ493" s="10"/>
      <c r="FA493" s="10"/>
      <c r="FB493" s="10"/>
      <c r="FC493" s="10"/>
      <c r="FD493" s="10"/>
      <c r="FE493" s="10"/>
      <c r="FF493" s="10"/>
      <c r="FG493" s="10"/>
      <c r="FH493" s="10"/>
      <c r="FI493" s="10"/>
      <c r="FJ493" s="10"/>
      <c r="FK493" s="10"/>
      <c r="FL493" s="10"/>
      <c r="FM493" s="10"/>
      <c r="FN493" s="10"/>
      <c r="FO493" s="10"/>
      <c r="FP493" s="10"/>
      <c r="FQ493" s="10"/>
      <c r="FR493" s="10"/>
      <c r="FS493" s="10"/>
      <c r="FT493" s="10"/>
      <c r="FU493" s="10"/>
      <c r="FV493" s="10"/>
      <c r="FW493" s="10"/>
      <c r="FX493" s="10"/>
      <c r="FY493" s="10"/>
      <c r="FZ493" s="10"/>
      <c r="GA493" s="10"/>
      <c r="GB493" s="10"/>
      <c r="GC493" s="10"/>
      <c r="GD493" s="10"/>
      <c r="GE493" s="10"/>
      <c r="GF493" s="10"/>
      <c r="GG493" s="10"/>
      <c r="GH493" s="10"/>
      <c r="GI493" s="10"/>
      <c r="GJ493" s="10"/>
      <c r="GK493" s="10"/>
      <c r="GL493" s="10"/>
      <c r="GM493" s="10"/>
      <c r="GN493" s="10"/>
      <c r="GO493" s="10"/>
      <c r="GP493" s="10"/>
      <c r="GQ493" s="10"/>
      <c r="GR493" s="10"/>
      <c r="GS493" s="10"/>
      <c r="GT493" s="10"/>
      <c r="GU493" s="10"/>
      <c r="GV493" s="10"/>
      <c r="GW493" s="10"/>
      <c r="GX493" s="10"/>
      <c r="GY493" s="10"/>
      <c r="GZ493" s="10"/>
      <c r="HA493" s="10"/>
      <c r="HB493" s="10"/>
      <c r="HC493" s="10"/>
      <c r="HD493" s="10"/>
      <c r="HE493" s="10"/>
      <c r="HF493" s="10"/>
      <c r="HG493" s="10"/>
      <c r="HH493" s="10"/>
      <c r="HI493" s="10"/>
      <c r="HJ493" s="10"/>
      <c r="HK493" s="10"/>
      <c r="HL493" s="10"/>
      <c r="HM493" s="10"/>
      <c r="HN493" s="10"/>
      <c r="HO493" s="10"/>
      <c r="HP493" s="10"/>
      <c r="HQ493" s="10"/>
      <c r="HR493" s="10"/>
      <c r="HS493" s="10"/>
      <c r="HT493" s="10"/>
      <c r="HU493" s="10"/>
      <c r="HV493" s="10"/>
      <c r="HW493" s="10"/>
      <c r="HX493" s="10"/>
      <c r="HY493" s="10"/>
      <c r="HZ493" s="10"/>
      <c r="IA493" s="10"/>
      <c r="IB493" s="10"/>
      <c r="IC493" s="10"/>
      <c r="ID493" s="10"/>
      <c r="IE493" s="10"/>
      <c r="IF493" s="10"/>
      <c r="IG493" s="10"/>
      <c r="IH493" s="10"/>
      <c r="II493" s="10"/>
      <c r="IJ493" s="10"/>
      <c r="IK493" s="10"/>
      <c r="IL493" s="10"/>
      <c r="IM493" s="10"/>
      <c r="IN493" s="10"/>
      <c r="IO493" s="10"/>
      <c r="IP493" s="10"/>
      <c r="IQ493" s="10"/>
      <c r="IR493" s="10"/>
      <c r="IS493" s="10"/>
      <c r="IT493" s="10"/>
      <c r="IU493" s="10"/>
      <c r="IV493" s="10"/>
      <c r="IW493" s="10"/>
    </row>
    <row r="494" spans="1:257">
      <c r="A494" s="34"/>
      <c r="B494" s="50"/>
      <c r="C494" s="24"/>
      <c r="D494" s="24"/>
      <c r="E494" s="24"/>
      <c r="F494" s="25"/>
      <c r="G494" s="25"/>
      <c r="H494" s="25"/>
      <c r="I494" s="25"/>
      <c r="J494" s="24"/>
      <c r="K494" s="25"/>
      <c r="L494" s="25"/>
      <c r="M494" s="25"/>
      <c r="N494" s="25"/>
      <c r="O494" s="25"/>
      <c r="P494" s="25"/>
      <c r="Q494" s="25"/>
      <c r="R494" s="24"/>
      <c r="S494" s="26">
        <f t="shared" si="31"/>
        <v>0</v>
      </c>
      <c r="T494" s="26">
        <f>COUNTIF($V$4:V494,V494)</f>
        <v>451</v>
      </c>
      <c r="U494" s="26" t="str">
        <f>IF(T494=1,COUNTIF($T$4:T494,1),"")</f>
        <v/>
      </c>
      <c r="V494" s="27" t="str">
        <f t="shared" si="33"/>
        <v/>
      </c>
      <c r="W494" s="27">
        <f t="shared" si="32"/>
        <v>0</v>
      </c>
      <c r="X494" s="28"/>
      <c r="Y494" s="27"/>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c r="EW494" s="10"/>
      <c r="EX494" s="10"/>
      <c r="EY494" s="10"/>
      <c r="EZ494" s="10"/>
      <c r="FA494" s="10"/>
      <c r="FB494" s="10"/>
      <c r="FC494" s="10"/>
      <c r="FD494" s="10"/>
      <c r="FE494" s="10"/>
      <c r="FF494" s="10"/>
      <c r="FG494" s="10"/>
      <c r="FH494" s="10"/>
      <c r="FI494" s="10"/>
      <c r="FJ494" s="10"/>
      <c r="FK494" s="10"/>
      <c r="FL494" s="10"/>
      <c r="FM494" s="10"/>
      <c r="FN494" s="10"/>
      <c r="FO494" s="10"/>
      <c r="FP494" s="10"/>
      <c r="FQ494" s="10"/>
      <c r="FR494" s="10"/>
      <c r="FS494" s="10"/>
      <c r="FT494" s="10"/>
      <c r="FU494" s="10"/>
      <c r="FV494" s="10"/>
      <c r="FW494" s="10"/>
      <c r="FX494" s="10"/>
      <c r="FY494" s="10"/>
      <c r="FZ494" s="10"/>
      <c r="GA494" s="10"/>
      <c r="GB494" s="10"/>
      <c r="GC494" s="10"/>
      <c r="GD494" s="10"/>
      <c r="GE494" s="10"/>
      <c r="GF494" s="10"/>
      <c r="GG494" s="10"/>
      <c r="GH494" s="10"/>
      <c r="GI494" s="10"/>
      <c r="GJ494" s="10"/>
      <c r="GK494" s="10"/>
      <c r="GL494" s="10"/>
      <c r="GM494" s="10"/>
      <c r="GN494" s="10"/>
      <c r="GO494" s="10"/>
      <c r="GP494" s="10"/>
      <c r="GQ494" s="10"/>
      <c r="GR494" s="10"/>
      <c r="GS494" s="10"/>
      <c r="GT494" s="10"/>
      <c r="GU494" s="10"/>
      <c r="GV494" s="10"/>
      <c r="GW494" s="10"/>
      <c r="GX494" s="10"/>
      <c r="GY494" s="10"/>
      <c r="GZ494" s="10"/>
      <c r="HA494" s="10"/>
      <c r="HB494" s="10"/>
      <c r="HC494" s="10"/>
      <c r="HD494" s="10"/>
      <c r="HE494" s="10"/>
      <c r="HF494" s="10"/>
      <c r="HG494" s="10"/>
      <c r="HH494" s="10"/>
      <c r="HI494" s="10"/>
      <c r="HJ494" s="10"/>
      <c r="HK494" s="10"/>
      <c r="HL494" s="10"/>
      <c r="HM494" s="10"/>
      <c r="HN494" s="10"/>
      <c r="HO494" s="10"/>
      <c r="HP494" s="10"/>
      <c r="HQ494" s="10"/>
      <c r="HR494" s="10"/>
      <c r="HS494" s="10"/>
      <c r="HT494" s="10"/>
      <c r="HU494" s="10"/>
      <c r="HV494" s="10"/>
      <c r="HW494" s="10"/>
      <c r="HX494" s="10"/>
      <c r="HY494" s="10"/>
      <c r="HZ494" s="10"/>
      <c r="IA494" s="10"/>
      <c r="IB494" s="10"/>
      <c r="IC494" s="10"/>
      <c r="ID494" s="10"/>
      <c r="IE494" s="10"/>
      <c r="IF494" s="10"/>
      <c r="IG494" s="10"/>
      <c r="IH494" s="10"/>
      <c r="II494" s="10"/>
      <c r="IJ494" s="10"/>
      <c r="IK494" s="10"/>
      <c r="IL494" s="10"/>
      <c r="IM494" s="10"/>
      <c r="IN494" s="10"/>
      <c r="IO494" s="10"/>
      <c r="IP494" s="10"/>
      <c r="IQ494" s="10"/>
      <c r="IR494" s="10"/>
      <c r="IS494" s="10"/>
      <c r="IT494" s="10"/>
      <c r="IU494" s="10"/>
      <c r="IV494" s="10"/>
      <c r="IW494" s="10"/>
    </row>
    <row r="495" spans="1:257">
      <c r="A495" s="34"/>
      <c r="B495" s="50"/>
      <c r="C495" s="24"/>
      <c r="D495" s="24"/>
      <c r="E495" s="24"/>
      <c r="F495" s="25"/>
      <c r="G495" s="25"/>
      <c r="H495" s="25"/>
      <c r="I495" s="25"/>
      <c r="J495" s="24"/>
      <c r="K495" s="25"/>
      <c r="L495" s="25"/>
      <c r="M495" s="25"/>
      <c r="N495" s="25"/>
      <c r="O495" s="25"/>
      <c r="P495" s="25"/>
      <c r="Q495" s="25"/>
      <c r="R495" s="24"/>
      <c r="S495" s="26">
        <f t="shared" si="31"/>
        <v>0</v>
      </c>
      <c r="T495" s="26">
        <f>COUNTIF($V$4:V495,V495)</f>
        <v>452</v>
      </c>
      <c r="U495" s="26" t="str">
        <f>IF(T495=1,COUNTIF($T$4:T495,1),"")</f>
        <v/>
      </c>
      <c r="V495" s="27" t="str">
        <f t="shared" si="33"/>
        <v/>
      </c>
      <c r="W495" s="27">
        <f t="shared" si="32"/>
        <v>0</v>
      </c>
      <c r="X495" s="28"/>
      <c r="Y495" s="27"/>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c r="EW495" s="10"/>
      <c r="EX495" s="10"/>
      <c r="EY495" s="10"/>
      <c r="EZ495" s="10"/>
      <c r="FA495" s="10"/>
      <c r="FB495" s="10"/>
      <c r="FC495" s="10"/>
      <c r="FD495" s="10"/>
      <c r="FE495" s="10"/>
      <c r="FF495" s="10"/>
      <c r="FG495" s="10"/>
      <c r="FH495" s="10"/>
      <c r="FI495" s="10"/>
      <c r="FJ495" s="10"/>
      <c r="FK495" s="10"/>
      <c r="FL495" s="10"/>
      <c r="FM495" s="10"/>
      <c r="FN495" s="10"/>
      <c r="FO495" s="10"/>
      <c r="FP495" s="10"/>
      <c r="FQ495" s="10"/>
      <c r="FR495" s="10"/>
      <c r="FS495" s="10"/>
      <c r="FT495" s="10"/>
      <c r="FU495" s="10"/>
      <c r="FV495" s="10"/>
      <c r="FW495" s="10"/>
      <c r="FX495" s="10"/>
      <c r="FY495" s="10"/>
      <c r="FZ495" s="10"/>
      <c r="GA495" s="10"/>
      <c r="GB495" s="10"/>
      <c r="GC495" s="10"/>
      <c r="GD495" s="10"/>
      <c r="GE495" s="10"/>
      <c r="GF495" s="10"/>
      <c r="GG495" s="10"/>
      <c r="GH495" s="10"/>
      <c r="GI495" s="10"/>
      <c r="GJ495" s="10"/>
      <c r="GK495" s="10"/>
      <c r="GL495" s="10"/>
      <c r="GM495" s="10"/>
      <c r="GN495" s="10"/>
      <c r="GO495" s="10"/>
      <c r="GP495" s="10"/>
      <c r="GQ495" s="10"/>
      <c r="GR495" s="10"/>
      <c r="GS495" s="10"/>
      <c r="GT495" s="10"/>
      <c r="GU495" s="10"/>
      <c r="GV495" s="10"/>
      <c r="GW495" s="10"/>
      <c r="GX495" s="10"/>
      <c r="GY495" s="10"/>
      <c r="GZ495" s="10"/>
      <c r="HA495" s="10"/>
      <c r="HB495" s="10"/>
      <c r="HC495" s="10"/>
      <c r="HD495" s="10"/>
      <c r="HE495" s="10"/>
      <c r="HF495" s="10"/>
      <c r="HG495" s="10"/>
      <c r="HH495" s="10"/>
      <c r="HI495" s="10"/>
      <c r="HJ495" s="10"/>
      <c r="HK495" s="10"/>
      <c r="HL495" s="10"/>
      <c r="HM495" s="10"/>
      <c r="HN495" s="10"/>
      <c r="HO495" s="10"/>
      <c r="HP495" s="10"/>
      <c r="HQ495" s="10"/>
      <c r="HR495" s="10"/>
      <c r="HS495" s="10"/>
      <c r="HT495" s="10"/>
      <c r="HU495" s="10"/>
      <c r="HV495" s="10"/>
      <c r="HW495" s="10"/>
      <c r="HX495" s="10"/>
      <c r="HY495" s="10"/>
      <c r="HZ495" s="10"/>
      <c r="IA495" s="10"/>
      <c r="IB495" s="10"/>
      <c r="IC495" s="10"/>
      <c r="ID495" s="10"/>
      <c r="IE495" s="10"/>
      <c r="IF495" s="10"/>
      <c r="IG495" s="10"/>
      <c r="IH495" s="10"/>
      <c r="II495" s="10"/>
      <c r="IJ495" s="10"/>
      <c r="IK495" s="10"/>
      <c r="IL495" s="10"/>
      <c r="IM495" s="10"/>
      <c r="IN495" s="10"/>
      <c r="IO495" s="10"/>
      <c r="IP495" s="10"/>
      <c r="IQ495" s="10"/>
      <c r="IR495" s="10"/>
      <c r="IS495" s="10"/>
      <c r="IT495" s="10"/>
      <c r="IU495" s="10"/>
      <c r="IV495" s="10"/>
      <c r="IW495" s="10"/>
    </row>
    <row r="496" spans="1:257">
      <c r="A496" s="34"/>
      <c r="B496" s="50"/>
      <c r="C496" s="24"/>
      <c r="D496" s="24"/>
      <c r="E496" s="24"/>
      <c r="F496" s="25"/>
      <c r="G496" s="25"/>
      <c r="H496" s="25"/>
      <c r="I496" s="25"/>
      <c r="J496" s="24"/>
      <c r="K496" s="25"/>
      <c r="L496" s="25"/>
      <c r="M496" s="25"/>
      <c r="N496" s="25"/>
      <c r="O496" s="25"/>
      <c r="P496" s="25"/>
      <c r="Q496" s="25"/>
      <c r="R496" s="24"/>
      <c r="S496" s="26">
        <f t="shared" si="31"/>
        <v>0</v>
      </c>
      <c r="T496" s="26">
        <f>COUNTIF($V$4:V496,V496)</f>
        <v>453</v>
      </c>
      <c r="U496" s="26" t="str">
        <f>IF(T496=1,COUNTIF($T$4:T496,1),"")</f>
        <v/>
      </c>
      <c r="V496" s="27" t="str">
        <f t="shared" si="33"/>
        <v/>
      </c>
      <c r="W496" s="27">
        <f t="shared" si="32"/>
        <v>0</v>
      </c>
      <c r="X496" s="28"/>
      <c r="Y496" s="27"/>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c r="EW496" s="10"/>
      <c r="EX496" s="10"/>
      <c r="EY496" s="10"/>
      <c r="EZ496" s="10"/>
      <c r="FA496" s="10"/>
      <c r="FB496" s="10"/>
      <c r="FC496" s="10"/>
      <c r="FD496" s="10"/>
      <c r="FE496" s="10"/>
      <c r="FF496" s="10"/>
      <c r="FG496" s="10"/>
      <c r="FH496" s="10"/>
      <c r="FI496" s="10"/>
      <c r="FJ496" s="10"/>
      <c r="FK496" s="10"/>
      <c r="FL496" s="10"/>
      <c r="FM496" s="10"/>
      <c r="FN496" s="10"/>
      <c r="FO496" s="10"/>
      <c r="FP496" s="10"/>
      <c r="FQ496" s="10"/>
      <c r="FR496" s="10"/>
      <c r="FS496" s="10"/>
      <c r="FT496" s="10"/>
      <c r="FU496" s="10"/>
      <c r="FV496" s="10"/>
      <c r="FW496" s="10"/>
      <c r="FX496" s="10"/>
      <c r="FY496" s="10"/>
      <c r="FZ496" s="10"/>
      <c r="GA496" s="10"/>
      <c r="GB496" s="10"/>
      <c r="GC496" s="10"/>
      <c r="GD496" s="10"/>
      <c r="GE496" s="10"/>
      <c r="GF496" s="10"/>
      <c r="GG496" s="10"/>
      <c r="GH496" s="10"/>
      <c r="GI496" s="10"/>
      <c r="GJ496" s="10"/>
      <c r="GK496" s="10"/>
      <c r="GL496" s="10"/>
      <c r="GM496" s="10"/>
      <c r="GN496" s="10"/>
      <c r="GO496" s="10"/>
      <c r="GP496" s="10"/>
      <c r="GQ496" s="10"/>
      <c r="GR496" s="10"/>
      <c r="GS496" s="10"/>
      <c r="GT496" s="10"/>
      <c r="GU496" s="10"/>
      <c r="GV496" s="10"/>
      <c r="GW496" s="10"/>
      <c r="GX496" s="10"/>
      <c r="GY496" s="10"/>
      <c r="GZ496" s="10"/>
      <c r="HA496" s="10"/>
      <c r="HB496" s="10"/>
      <c r="HC496" s="10"/>
      <c r="HD496" s="10"/>
      <c r="HE496" s="10"/>
      <c r="HF496" s="10"/>
      <c r="HG496" s="10"/>
      <c r="HH496" s="10"/>
      <c r="HI496" s="10"/>
      <c r="HJ496" s="10"/>
      <c r="HK496" s="10"/>
      <c r="HL496" s="10"/>
      <c r="HM496" s="10"/>
      <c r="HN496" s="10"/>
      <c r="HO496" s="10"/>
      <c r="HP496" s="10"/>
      <c r="HQ496" s="10"/>
      <c r="HR496" s="10"/>
      <c r="HS496" s="10"/>
      <c r="HT496" s="10"/>
      <c r="HU496" s="10"/>
      <c r="HV496" s="10"/>
      <c r="HW496" s="10"/>
      <c r="HX496" s="10"/>
      <c r="HY496" s="10"/>
      <c r="HZ496" s="10"/>
      <c r="IA496" s="10"/>
      <c r="IB496" s="10"/>
      <c r="IC496" s="10"/>
      <c r="ID496" s="10"/>
      <c r="IE496" s="10"/>
      <c r="IF496" s="10"/>
      <c r="IG496" s="10"/>
      <c r="IH496" s="10"/>
      <c r="II496" s="10"/>
      <c r="IJ496" s="10"/>
      <c r="IK496" s="10"/>
      <c r="IL496" s="10"/>
      <c r="IM496" s="10"/>
      <c r="IN496" s="10"/>
      <c r="IO496" s="10"/>
      <c r="IP496" s="10"/>
      <c r="IQ496" s="10"/>
      <c r="IR496" s="10"/>
      <c r="IS496" s="10"/>
      <c r="IT496" s="10"/>
      <c r="IU496" s="10"/>
      <c r="IV496" s="10"/>
      <c r="IW496" s="10"/>
    </row>
    <row r="497" spans="1:257">
      <c r="A497" s="34"/>
      <c r="B497" s="50"/>
      <c r="C497" s="24"/>
      <c r="D497" s="24"/>
      <c r="E497" s="24"/>
      <c r="F497" s="25"/>
      <c r="G497" s="25"/>
      <c r="H497" s="25"/>
      <c r="I497" s="25"/>
      <c r="J497" s="24"/>
      <c r="K497" s="25"/>
      <c r="L497" s="25"/>
      <c r="M497" s="25"/>
      <c r="N497" s="25"/>
      <c r="O497" s="25"/>
      <c r="P497" s="25"/>
      <c r="Q497" s="25"/>
      <c r="R497" s="24"/>
      <c r="S497" s="26">
        <f t="shared" si="31"/>
        <v>0</v>
      </c>
      <c r="T497" s="26">
        <f>COUNTIF($V$4:V497,V497)</f>
        <v>454</v>
      </c>
      <c r="U497" s="26" t="str">
        <f>IF(T497=1,COUNTIF($T$4:T497,1),"")</f>
        <v/>
      </c>
      <c r="V497" s="27" t="str">
        <f t="shared" si="33"/>
        <v/>
      </c>
      <c r="W497" s="27">
        <f t="shared" si="32"/>
        <v>0</v>
      </c>
      <c r="X497" s="28"/>
      <c r="Y497" s="27"/>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c r="CW497" s="10"/>
      <c r="CX497" s="10"/>
      <c r="CY497" s="10"/>
      <c r="CZ497" s="10"/>
      <c r="DA497" s="10"/>
      <c r="DB497" s="10"/>
      <c r="DC497" s="10"/>
      <c r="DD497" s="10"/>
      <c r="DE497" s="10"/>
      <c r="DF497" s="10"/>
      <c r="DG497" s="10"/>
      <c r="DH497" s="10"/>
      <c r="DI497" s="10"/>
      <c r="DJ497" s="10"/>
      <c r="DK497" s="10"/>
      <c r="DL497" s="10"/>
      <c r="DM497" s="10"/>
      <c r="DN497" s="10"/>
      <c r="DO497" s="10"/>
      <c r="DP497" s="10"/>
      <c r="DQ497" s="10"/>
      <c r="DR497" s="10"/>
      <c r="DS497" s="10"/>
      <c r="DT497" s="10"/>
      <c r="DU497" s="10"/>
      <c r="DV497" s="10"/>
      <c r="DW497" s="10"/>
      <c r="DX497" s="10"/>
      <c r="DY497" s="10"/>
      <c r="DZ497" s="10"/>
      <c r="EA497" s="10"/>
      <c r="EB497" s="10"/>
      <c r="EC497" s="10"/>
      <c r="ED497" s="10"/>
      <c r="EE497" s="10"/>
      <c r="EF497" s="10"/>
      <c r="EG497" s="10"/>
      <c r="EH497" s="10"/>
      <c r="EI497" s="10"/>
      <c r="EJ497" s="10"/>
      <c r="EK497" s="10"/>
      <c r="EL497" s="10"/>
      <c r="EM497" s="10"/>
      <c r="EN497" s="10"/>
      <c r="EO497" s="10"/>
      <c r="EP497" s="10"/>
      <c r="EQ497" s="10"/>
      <c r="ER497" s="10"/>
      <c r="ES497" s="10"/>
      <c r="ET497" s="10"/>
      <c r="EU497" s="10"/>
      <c r="EV497" s="10"/>
      <c r="EW497" s="10"/>
      <c r="EX497" s="10"/>
      <c r="EY497" s="10"/>
      <c r="EZ497" s="10"/>
      <c r="FA497" s="10"/>
      <c r="FB497" s="10"/>
      <c r="FC497" s="10"/>
      <c r="FD497" s="10"/>
      <c r="FE497" s="10"/>
      <c r="FF497" s="10"/>
      <c r="FG497" s="10"/>
      <c r="FH497" s="10"/>
      <c r="FI497" s="10"/>
      <c r="FJ497" s="10"/>
      <c r="FK497" s="10"/>
      <c r="FL497" s="10"/>
      <c r="FM497" s="10"/>
      <c r="FN497" s="10"/>
      <c r="FO497" s="10"/>
      <c r="FP497" s="10"/>
      <c r="FQ497" s="10"/>
      <c r="FR497" s="10"/>
      <c r="FS497" s="10"/>
      <c r="FT497" s="10"/>
      <c r="FU497" s="10"/>
      <c r="FV497" s="10"/>
      <c r="FW497" s="10"/>
      <c r="FX497" s="10"/>
      <c r="FY497" s="10"/>
      <c r="FZ497" s="10"/>
      <c r="GA497" s="10"/>
      <c r="GB497" s="10"/>
      <c r="GC497" s="10"/>
      <c r="GD497" s="10"/>
      <c r="GE497" s="10"/>
      <c r="GF497" s="10"/>
      <c r="GG497" s="10"/>
      <c r="GH497" s="10"/>
      <c r="GI497" s="10"/>
      <c r="GJ497" s="10"/>
      <c r="GK497" s="10"/>
      <c r="GL497" s="10"/>
      <c r="GM497" s="10"/>
      <c r="GN497" s="10"/>
      <c r="GO497" s="10"/>
      <c r="GP497" s="10"/>
      <c r="GQ497" s="10"/>
      <c r="GR497" s="10"/>
      <c r="GS497" s="10"/>
      <c r="GT497" s="10"/>
      <c r="GU497" s="10"/>
      <c r="GV497" s="10"/>
      <c r="GW497" s="10"/>
      <c r="GX497" s="10"/>
      <c r="GY497" s="10"/>
      <c r="GZ497" s="10"/>
      <c r="HA497" s="10"/>
      <c r="HB497" s="10"/>
      <c r="HC497" s="10"/>
      <c r="HD497" s="10"/>
      <c r="HE497" s="10"/>
      <c r="HF497" s="10"/>
      <c r="HG497" s="10"/>
      <c r="HH497" s="10"/>
      <c r="HI497" s="10"/>
      <c r="HJ497" s="10"/>
      <c r="HK497" s="10"/>
      <c r="HL497" s="10"/>
      <c r="HM497" s="10"/>
      <c r="HN497" s="10"/>
      <c r="HO497" s="10"/>
      <c r="HP497" s="10"/>
      <c r="HQ497" s="10"/>
      <c r="HR497" s="10"/>
      <c r="HS497" s="10"/>
      <c r="HT497" s="10"/>
      <c r="HU497" s="10"/>
      <c r="HV497" s="10"/>
      <c r="HW497" s="10"/>
      <c r="HX497" s="10"/>
      <c r="HY497" s="10"/>
      <c r="HZ497" s="10"/>
      <c r="IA497" s="10"/>
      <c r="IB497" s="10"/>
      <c r="IC497" s="10"/>
      <c r="ID497" s="10"/>
      <c r="IE497" s="10"/>
      <c r="IF497" s="10"/>
      <c r="IG497" s="10"/>
      <c r="IH497" s="10"/>
      <c r="II497" s="10"/>
      <c r="IJ497" s="10"/>
      <c r="IK497" s="10"/>
      <c r="IL497" s="10"/>
      <c r="IM497" s="10"/>
      <c r="IN497" s="10"/>
      <c r="IO497" s="10"/>
      <c r="IP497" s="10"/>
      <c r="IQ497" s="10"/>
      <c r="IR497" s="10"/>
      <c r="IS497" s="10"/>
      <c r="IT497" s="10"/>
      <c r="IU497" s="10"/>
      <c r="IV497" s="10"/>
      <c r="IW497" s="10"/>
    </row>
    <row r="498" spans="1:257">
      <c r="A498" s="34"/>
      <c r="B498" s="50"/>
      <c r="C498" s="24"/>
      <c r="D498" s="24"/>
      <c r="E498" s="24"/>
      <c r="F498" s="25"/>
      <c r="G498" s="25"/>
      <c r="H498" s="25"/>
      <c r="I498" s="25"/>
      <c r="J498" s="24"/>
      <c r="K498" s="25"/>
      <c r="L498" s="25"/>
      <c r="M498" s="25"/>
      <c r="N498" s="25"/>
      <c r="O498" s="25"/>
      <c r="P498" s="25"/>
      <c r="Q498" s="25"/>
      <c r="R498" s="24"/>
      <c r="S498" s="26">
        <f t="shared" si="31"/>
        <v>0</v>
      </c>
      <c r="T498" s="26">
        <f>COUNTIF($V$4:V498,V498)</f>
        <v>455</v>
      </c>
      <c r="U498" s="26" t="str">
        <f>IF(T498=1,COUNTIF($T$4:T498,1),"")</f>
        <v/>
      </c>
      <c r="V498" s="27" t="str">
        <f t="shared" si="33"/>
        <v/>
      </c>
      <c r="W498" s="27">
        <f t="shared" si="32"/>
        <v>0</v>
      </c>
      <c r="X498" s="28"/>
      <c r="Y498" s="27"/>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0"/>
      <c r="DJ498" s="10"/>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c r="EW498" s="10"/>
      <c r="EX498" s="10"/>
      <c r="EY498" s="10"/>
      <c r="EZ498" s="10"/>
      <c r="FA498" s="10"/>
      <c r="FB498" s="10"/>
      <c r="FC498" s="10"/>
      <c r="FD498" s="10"/>
      <c r="FE498" s="10"/>
      <c r="FF498" s="10"/>
      <c r="FG498" s="10"/>
      <c r="FH498" s="10"/>
      <c r="FI498" s="10"/>
      <c r="FJ498" s="10"/>
      <c r="FK498" s="10"/>
      <c r="FL498" s="10"/>
      <c r="FM498" s="10"/>
      <c r="FN498" s="10"/>
      <c r="FO498" s="10"/>
      <c r="FP498" s="10"/>
      <c r="FQ498" s="10"/>
      <c r="FR498" s="10"/>
      <c r="FS498" s="10"/>
      <c r="FT498" s="10"/>
      <c r="FU498" s="10"/>
      <c r="FV498" s="10"/>
      <c r="FW498" s="10"/>
      <c r="FX498" s="10"/>
      <c r="FY498" s="10"/>
      <c r="FZ498" s="10"/>
      <c r="GA498" s="10"/>
      <c r="GB498" s="10"/>
      <c r="GC498" s="10"/>
      <c r="GD498" s="10"/>
      <c r="GE498" s="10"/>
      <c r="GF498" s="10"/>
      <c r="GG498" s="10"/>
      <c r="GH498" s="10"/>
      <c r="GI498" s="10"/>
      <c r="GJ498" s="10"/>
      <c r="GK498" s="10"/>
      <c r="GL498" s="10"/>
      <c r="GM498" s="10"/>
      <c r="GN498" s="10"/>
      <c r="GO498" s="10"/>
      <c r="GP498" s="10"/>
      <c r="GQ498" s="10"/>
      <c r="GR498" s="10"/>
      <c r="GS498" s="10"/>
      <c r="GT498" s="10"/>
      <c r="GU498" s="10"/>
      <c r="GV498" s="10"/>
      <c r="GW498" s="10"/>
      <c r="GX498" s="10"/>
      <c r="GY498" s="10"/>
      <c r="GZ498" s="10"/>
      <c r="HA498" s="10"/>
      <c r="HB498" s="10"/>
      <c r="HC498" s="10"/>
      <c r="HD498" s="10"/>
      <c r="HE498" s="10"/>
      <c r="HF498" s="10"/>
      <c r="HG498" s="10"/>
      <c r="HH498" s="10"/>
      <c r="HI498" s="10"/>
      <c r="HJ498" s="10"/>
      <c r="HK498" s="10"/>
      <c r="HL498" s="10"/>
      <c r="HM498" s="10"/>
      <c r="HN498" s="10"/>
      <c r="HO498" s="10"/>
      <c r="HP498" s="10"/>
      <c r="HQ498" s="10"/>
      <c r="HR498" s="10"/>
      <c r="HS498" s="10"/>
      <c r="HT498" s="10"/>
      <c r="HU498" s="10"/>
      <c r="HV498" s="10"/>
      <c r="HW498" s="10"/>
      <c r="HX498" s="10"/>
      <c r="HY498" s="10"/>
      <c r="HZ498" s="10"/>
      <c r="IA498" s="10"/>
      <c r="IB498" s="10"/>
      <c r="IC498" s="10"/>
      <c r="ID498" s="10"/>
      <c r="IE498" s="10"/>
      <c r="IF498" s="10"/>
      <c r="IG498" s="10"/>
      <c r="IH498" s="10"/>
      <c r="II498" s="10"/>
      <c r="IJ498" s="10"/>
      <c r="IK498" s="10"/>
      <c r="IL498" s="10"/>
      <c r="IM498" s="10"/>
      <c r="IN498" s="10"/>
      <c r="IO498" s="10"/>
      <c r="IP498" s="10"/>
      <c r="IQ498" s="10"/>
      <c r="IR498" s="10"/>
      <c r="IS498" s="10"/>
      <c r="IT498" s="10"/>
      <c r="IU498" s="10"/>
      <c r="IV498" s="10"/>
      <c r="IW498" s="10"/>
    </row>
    <row r="499" spans="1:257">
      <c r="A499" s="34"/>
      <c r="B499" s="50"/>
      <c r="C499" s="24"/>
      <c r="D499" s="24"/>
      <c r="E499" s="24"/>
      <c r="F499" s="25"/>
      <c r="G499" s="25"/>
      <c r="H499" s="25"/>
      <c r="I499" s="25"/>
      <c r="J499" s="24"/>
      <c r="K499" s="25"/>
      <c r="L499" s="25"/>
      <c r="M499" s="25"/>
      <c r="N499" s="25"/>
      <c r="O499" s="25"/>
      <c r="P499" s="25"/>
      <c r="Q499" s="25"/>
      <c r="R499" s="24"/>
      <c r="S499" s="26">
        <f t="shared" si="31"/>
        <v>0</v>
      </c>
      <c r="T499" s="26">
        <f>COUNTIF($V$4:V499,V499)</f>
        <v>456</v>
      </c>
      <c r="U499" s="26" t="str">
        <f>IF(T499=1,COUNTIF($T$4:T499,1),"")</f>
        <v/>
      </c>
      <c r="V499" s="27" t="str">
        <f t="shared" si="33"/>
        <v/>
      </c>
      <c r="W499" s="27">
        <f t="shared" si="32"/>
        <v>0</v>
      </c>
      <c r="X499" s="28"/>
      <c r="Y499" s="27"/>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c r="EW499" s="10"/>
      <c r="EX499" s="10"/>
      <c r="EY499" s="10"/>
      <c r="EZ499" s="10"/>
      <c r="FA499" s="10"/>
      <c r="FB499" s="10"/>
      <c r="FC499" s="10"/>
      <c r="FD499" s="10"/>
      <c r="FE499" s="10"/>
      <c r="FF499" s="10"/>
      <c r="FG499" s="10"/>
      <c r="FH499" s="10"/>
      <c r="FI499" s="10"/>
      <c r="FJ499" s="10"/>
      <c r="FK499" s="10"/>
      <c r="FL499" s="10"/>
      <c r="FM499" s="10"/>
      <c r="FN499" s="10"/>
      <c r="FO499" s="10"/>
      <c r="FP499" s="10"/>
      <c r="FQ499" s="10"/>
      <c r="FR499" s="10"/>
      <c r="FS499" s="10"/>
      <c r="FT499" s="10"/>
      <c r="FU499" s="10"/>
      <c r="FV499" s="10"/>
      <c r="FW499" s="10"/>
      <c r="FX499" s="10"/>
      <c r="FY499" s="10"/>
      <c r="FZ499" s="10"/>
      <c r="GA499" s="10"/>
      <c r="GB499" s="10"/>
      <c r="GC499" s="10"/>
      <c r="GD499" s="10"/>
      <c r="GE499" s="10"/>
      <c r="GF499" s="10"/>
      <c r="GG499" s="10"/>
      <c r="GH499" s="10"/>
      <c r="GI499" s="10"/>
      <c r="GJ499" s="10"/>
      <c r="GK499" s="10"/>
      <c r="GL499" s="10"/>
      <c r="GM499" s="10"/>
      <c r="GN499" s="10"/>
      <c r="GO499" s="10"/>
      <c r="GP499" s="10"/>
      <c r="GQ499" s="10"/>
      <c r="GR499" s="10"/>
      <c r="GS499" s="10"/>
      <c r="GT499" s="10"/>
      <c r="GU499" s="10"/>
      <c r="GV499" s="10"/>
      <c r="GW499" s="10"/>
      <c r="GX499" s="10"/>
      <c r="GY499" s="10"/>
      <c r="GZ499" s="10"/>
      <c r="HA499" s="10"/>
      <c r="HB499" s="10"/>
      <c r="HC499" s="10"/>
      <c r="HD499" s="10"/>
      <c r="HE499" s="10"/>
      <c r="HF499" s="10"/>
      <c r="HG499" s="10"/>
      <c r="HH499" s="10"/>
      <c r="HI499" s="10"/>
      <c r="HJ499" s="10"/>
      <c r="HK499" s="10"/>
      <c r="HL499" s="10"/>
      <c r="HM499" s="10"/>
      <c r="HN499" s="10"/>
      <c r="HO499" s="10"/>
      <c r="HP499" s="10"/>
      <c r="HQ499" s="10"/>
      <c r="HR499" s="10"/>
      <c r="HS499" s="10"/>
      <c r="HT499" s="10"/>
      <c r="HU499" s="10"/>
      <c r="HV499" s="10"/>
      <c r="HW499" s="10"/>
      <c r="HX499" s="10"/>
      <c r="HY499" s="10"/>
      <c r="HZ499" s="10"/>
      <c r="IA499" s="10"/>
      <c r="IB499" s="10"/>
      <c r="IC499" s="10"/>
      <c r="ID499" s="10"/>
      <c r="IE499" s="10"/>
      <c r="IF499" s="10"/>
      <c r="IG499" s="10"/>
      <c r="IH499" s="10"/>
      <c r="II499" s="10"/>
      <c r="IJ499" s="10"/>
      <c r="IK499" s="10"/>
      <c r="IL499" s="10"/>
      <c r="IM499" s="10"/>
      <c r="IN499" s="10"/>
      <c r="IO499" s="10"/>
      <c r="IP499" s="10"/>
      <c r="IQ499" s="10"/>
      <c r="IR499" s="10"/>
      <c r="IS499" s="10"/>
      <c r="IT499" s="10"/>
      <c r="IU499" s="10"/>
      <c r="IV499" s="10"/>
      <c r="IW499" s="10"/>
    </row>
    <row r="500" spans="1:257">
      <c r="A500" s="34"/>
      <c r="B500" s="50"/>
      <c r="C500" s="24"/>
      <c r="D500" s="24"/>
      <c r="E500" s="24"/>
      <c r="F500" s="25"/>
      <c r="G500" s="25"/>
      <c r="H500" s="25"/>
      <c r="I500" s="25"/>
      <c r="J500" s="24"/>
      <c r="K500" s="25"/>
      <c r="L500" s="25"/>
      <c r="M500" s="25"/>
      <c r="N500" s="25"/>
      <c r="O500" s="25"/>
      <c r="P500" s="25"/>
      <c r="Q500" s="25"/>
      <c r="R500" s="24"/>
      <c r="S500" s="26">
        <f t="shared" si="31"/>
        <v>0</v>
      </c>
      <c r="T500" s="26">
        <f>COUNTIF($V$4:V500,V500)</f>
        <v>457</v>
      </c>
      <c r="U500" s="26" t="str">
        <f>IF(T500=1,COUNTIF($T$4:T500,1),"")</f>
        <v/>
      </c>
      <c r="V500" s="27" t="str">
        <f t="shared" si="33"/>
        <v/>
      </c>
      <c r="W500" s="27">
        <f t="shared" si="32"/>
        <v>0</v>
      </c>
      <c r="X500" s="28"/>
      <c r="Y500" s="27"/>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c r="EW500" s="10"/>
      <c r="EX500" s="10"/>
      <c r="EY500" s="10"/>
      <c r="EZ500" s="10"/>
      <c r="FA500" s="10"/>
      <c r="FB500" s="10"/>
      <c r="FC500" s="10"/>
      <c r="FD500" s="10"/>
      <c r="FE500" s="10"/>
      <c r="FF500" s="10"/>
      <c r="FG500" s="10"/>
      <c r="FH500" s="10"/>
      <c r="FI500" s="10"/>
      <c r="FJ500" s="10"/>
      <c r="FK500" s="10"/>
      <c r="FL500" s="10"/>
      <c r="FM500" s="10"/>
      <c r="FN500" s="10"/>
      <c r="FO500" s="10"/>
      <c r="FP500" s="10"/>
      <c r="FQ500" s="10"/>
      <c r="FR500" s="10"/>
      <c r="FS500" s="10"/>
      <c r="FT500" s="10"/>
      <c r="FU500" s="10"/>
      <c r="FV500" s="10"/>
      <c r="FW500" s="10"/>
      <c r="FX500" s="10"/>
      <c r="FY500" s="10"/>
      <c r="FZ500" s="10"/>
      <c r="GA500" s="10"/>
      <c r="GB500" s="10"/>
      <c r="GC500" s="10"/>
      <c r="GD500" s="10"/>
      <c r="GE500" s="10"/>
      <c r="GF500" s="10"/>
      <c r="GG500" s="10"/>
      <c r="GH500" s="10"/>
      <c r="GI500" s="10"/>
      <c r="GJ500" s="10"/>
      <c r="GK500" s="10"/>
      <c r="GL500" s="10"/>
      <c r="GM500" s="10"/>
      <c r="GN500" s="10"/>
      <c r="GO500" s="10"/>
      <c r="GP500" s="10"/>
      <c r="GQ500" s="10"/>
      <c r="GR500" s="10"/>
      <c r="GS500" s="10"/>
      <c r="GT500" s="10"/>
      <c r="GU500" s="10"/>
      <c r="GV500" s="10"/>
      <c r="GW500" s="10"/>
      <c r="GX500" s="10"/>
      <c r="GY500" s="10"/>
      <c r="GZ500" s="10"/>
      <c r="HA500" s="10"/>
      <c r="HB500" s="10"/>
      <c r="HC500" s="10"/>
      <c r="HD500" s="10"/>
      <c r="HE500" s="10"/>
      <c r="HF500" s="10"/>
      <c r="HG500" s="10"/>
      <c r="HH500" s="10"/>
      <c r="HI500" s="10"/>
      <c r="HJ500" s="10"/>
      <c r="HK500" s="10"/>
      <c r="HL500" s="10"/>
      <c r="HM500" s="10"/>
      <c r="HN500" s="10"/>
      <c r="HO500" s="10"/>
      <c r="HP500" s="10"/>
      <c r="HQ500" s="10"/>
      <c r="HR500" s="10"/>
      <c r="HS500" s="10"/>
      <c r="HT500" s="10"/>
      <c r="HU500" s="10"/>
      <c r="HV500" s="10"/>
      <c r="HW500" s="10"/>
      <c r="HX500" s="10"/>
      <c r="HY500" s="10"/>
      <c r="HZ500" s="10"/>
      <c r="IA500" s="10"/>
      <c r="IB500" s="10"/>
      <c r="IC500" s="10"/>
      <c r="ID500" s="10"/>
      <c r="IE500" s="10"/>
      <c r="IF500" s="10"/>
      <c r="IG500" s="10"/>
      <c r="IH500" s="10"/>
      <c r="II500" s="10"/>
      <c r="IJ500" s="10"/>
      <c r="IK500" s="10"/>
      <c r="IL500" s="10"/>
      <c r="IM500" s="10"/>
      <c r="IN500" s="10"/>
      <c r="IO500" s="10"/>
      <c r="IP500" s="10"/>
      <c r="IQ500" s="10"/>
      <c r="IR500" s="10"/>
      <c r="IS500" s="10"/>
      <c r="IT500" s="10"/>
      <c r="IU500" s="10"/>
      <c r="IV500" s="10"/>
      <c r="IW500" s="10"/>
    </row>
    <row r="501" spans="1:257">
      <c r="A501" s="34"/>
      <c r="B501" s="50"/>
      <c r="C501" s="24"/>
      <c r="D501" s="24"/>
      <c r="E501" s="24"/>
      <c r="F501" s="25"/>
      <c r="G501" s="25"/>
      <c r="H501" s="25"/>
      <c r="I501" s="25"/>
      <c r="J501" s="24"/>
      <c r="K501" s="25"/>
      <c r="L501" s="25"/>
      <c r="M501" s="25"/>
      <c r="N501" s="25"/>
      <c r="O501" s="25"/>
      <c r="P501" s="25"/>
      <c r="Q501" s="25"/>
      <c r="R501" s="24"/>
      <c r="S501" s="26">
        <f t="shared" si="31"/>
        <v>0</v>
      </c>
      <c r="T501" s="26">
        <f>COUNTIF($V$4:V501,V501)</f>
        <v>458</v>
      </c>
      <c r="U501" s="26" t="str">
        <f>IF(T501=1,COUNTIF($T$4:T501,1),"")</f>
        <v/>
      </c>
      <c r="V501" s="27" t="str">
        <f t="shared" si="33"/>
        <v/>
      </c>
      <c r="W501" s="27">
        <f t="shared" si="32"/>
        <v>0</v>
      </c>
      <c r="X501" s="28"/>
      <c r="Y501" s="27"/>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c r="EW501" s="10"/>
      <c r="EX501" s="10"/>
      <c r="EY501" s="10"/>
      <c r="EZ501" s="10"/>
      <c r="FA501" s="10"/>
      <c r="FB501" s="10"/>
      <c r="FC501" s="10"/>
      <c r="FD501" s="10"/>
      <c r="FE501" s="10"/>
      <c r="FF501" s="10"/>
      <c r="FG501" s="10"/>
      <c r="FH501" s="10"/>
      <c r="FI501" s="10"/>
      <c r="FJ501" s="10"/>
      <c r="FK501" s="10"/>
      <c r="FL501" s="10"/>
      <c r="FM501" s="10"/>
      <c r="FN501" s="10"/>
      <c r="FO501" s="10"/>
      <c r="FP501" s="10"/>
      <c r="FQ501" s="10"/>
      <c r="FR501" s="10"/>
      <c r="FS501" s="10"/>
      <c r="FT501" s="10"/>
      <c r="FU501" s="10"/>
      <c r="FV501" s="10"/>
      <c r="FW501" s="10"/>
      <c r="FX501" s="10"/>
      <c r="FY501" s="10"/>
      <c r="FZ501" s="10"/>
      <c r="GA501" s="10"/>
      <c r="GB501" s="10"/>
      <c r="GC501" s="10"/>
      <c r="GD501" s="10"/>
      <c r="GE501" s="10"/>
      <c r="GF501" s="10"/>
      <c r="GG501" s="10"/>
      <c r="GH501" s="10"/>
      <c r="GI501" s="10"/>
      <c r="GJ501" s="10"/>
      <c r="GK501" s="10"/>
      <c r="GL501" s="10"/>
      <c r="GM501" s="10"/>
      <c r="GN501" s="10"/>
      <c r="GO501" s="10"/>
      <c r="GP501" s="10"/>
      <c r="GQ501" s="10"/>
      <c r="GR501" s="10"/>
      <c r="GS501" s="10"/>
      <c r="GT501" s="10"/>
      <c r="GU501" s="10"/>
      <c r="GV501" s="10"/>
      <c r="GW501" s="10"/>
      <c r="GX501" s="10"/>
      <c r="GY501" s="10"/>
      <c r="GZ501" s="10"/>
      <c r="HA501" s="10"/>
      <c r="HB501" s="10"/>
      <c r="HC501" s="10"/>
      <c r="HD501" s="10"/>
      <c r="HE501" s="10"/>
      <c r="HF501" s="10"/>
      <c r="HG501" s="10"/>
      <c r="HH501" s="10"/>
      <c r="HI501" s="10"/>
      <c r="HJ501" s="10"/>
      <c r="HK501" s="10"/>
      <c r="HL501" s="10"/>
      <c r="HM501" s="10"/>
      <c r="HN501" s="10"/>
      <c r="HO501" s="10"/>
      <c r="HP501" s="10"/>
      <c r="HQ501" s="10"/>
      <c r="HR501" s="10"/>
      <c r="HS501" s="10"/>
      <c r="HT501" s="10"/>
      <c r="HU501" s="10"/>
      <c r="HV501" s="10"/>
      <c r="HW501" s="10"/>
      <c r="HX501" s="10"/>
      <c r="HY501" s="10"/>
      <c r="HZ501" s="10"/>
      <c r="IA501" s="10"/>
      <c r="IB501" s="10"/>
      <c r="IC501" s="10"/>
      <c r="ID501" s="10"/>
      <c r="IE501" s="10"/>
      <c r="IF501" s="10"/>
      <c r="IG501" s="10"/>
      <c r="IH501" s="10"/>
      <c r="II501" s="10"/>
      <c r="IJ501" s="10"/>
      <c r="IK501" s="10"/>
      <c r="IL501" s="10"/>
      <c r="IM501" s="10"/>
      <c r="IN501" s="10"/>
      <c r="IO501" s="10"/>
      <c r="IP501" s="10"/>
      <c r="IQ501" s="10"/>
      <c r="IR501" s="10"/>
      <c r="IS501" s="10"/>
      <c r="IT501" s="10"/>
      <c r="IU501" s="10"/>
      <c r="IV501" s="10"/>
      <c r="IW501" s="10"/>
    </row>
    <row r="502" spans="1:257">
      <c r="A502" s="34"/>
      <c r="B502" s="50"/>
      <c r="C502" s="24"/>
      <c r="D502" s="24"/>
      <c r="E502" s="24"/>
      <c r="F502" s="25"/>
      <c r="G502" s="25"/>
      <c r="H502" s="25"/>
      <c r="I502" s="25"/>
      <c r="J502" s="24"/>
      <c r="K502" s="25"/>
      <c r="L502" s="25"/>
      <c r="M502" s="25"/>
      <c r="N502" s="25"/>
      <c r="O502" s="25"/>
      <c r="P502" s="25"/>
      <c r="Q502" s="25"/>
      <c r="R502" s="24"/>
      <c r="S502" s="26">
        <f t="shared" si="31"/>
        <v>0</v>
      </c>
      <c r="T502" s="26">
        <f>COUNTIF($V$4:V502,V502)</f>
        <v>459</v>
      </c>
      <c r="U502" s="26" t="str">
        <f>IF(T502=1,COUNTIF($T$4:T502,1),"")</f>
        <v/>
      </c>
      <c r="V502" s="27" t="str">
        <f t="shared" si="33"/>
        <v/>
      </c>
      <c r="W502" s="27">
        <f t="shared" si="32"/>
        <v>0</v>
      </c>
      <c r="X502" s="28"/>
      <c r="Y502" s="27"/>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c r="EW502" s="10"/>
      <c r="EX502" s="10"/>
      <c r="EY502" s="10"/>
      <c r="EZ502" s="10"/>
      <c r="FA502" s="10"/>
      <c r="FB502" s="10"/>
      <c r="FC502" s="10"/>
      <c r="FD502" s="10"/>
      <c r="FE502" s="10"/>
      <c r="FF502" s="10"/>
      <c r="FG502" s="10"/>
      <c r="FH502" s="10"/>
      <c r="FI502" s="10"/>
      <c r="FJ502" s="10"/>
      <c r="FK502" s="10"/>
      <c r="FL502" s="10"/>
      <c r="FM502" s="10"/>
      <c r="FN502" s="10"/>
      <c r="FO502" s="10"/>
      <c r="FP502" s="10"/>
      <c r="FQ502" s="10"/>
      <c r="FR502" s="10"/>
      <c r="FS502" s="10"/>
      <c r="FT502" s="10"/>
      <c r="FU502" s="10"/>
      <c r="FV502" s="10"/>
      <c r="FW502" s="10"/>
      <c r="FX502" s="10"/>
      <c r="FY502" s="10"/>
      <c r="FZ502" s="10"/>
      <c r="GA502" s="10"/>
      <c r="GB502" s="10"/>
      <c r="GC502" s="10"/>
      <c r="GD502" s="10"/>
      <c r="GE502" s="10"/>
      <c r="GF502" s="10"/>
      <c r="GG502" s="10"/>
      <c r="GH502" s="10"/>
      <c r="GI502" s="10"/>
      <c r="GJ502" s="10"/>
      <c r="GK502" s="10"/>
      <c r="GL502" s="10"/>
      <c r="GM502" s="10"/>
      <c r="GN502" s="10"/>
      <c r="GO502" s="10"/>
      <c r="GP502" s="10"/>
      <c r="GQ502" s="10"/>
      <c r="GR502" s="10"/>
      <c r="GS502" s="10"/>
      <c r="GT502" s="10"/>
      <c r="GU502" s="10"/>
      <c r="GV502" s="10"/>
      <c r="GW502" s="10"/>
      <c r="GX502" s="10"/>
      <c r="GY502" s="10"/>
      <c r="GZ502" s="10"/>
      <c r="HA502" s="10"/>
      <c r="HB502" s="10"/>
      <c r="HC502" s="10"/>
      <c r="HD502" s="10"/>
      <c r="HE502" s="10"/>
      <c r="HF502" s="10"/>
      <c r="HG502" s="10"/>
      <c r="HH502" s="10"/>
      <c r="HI502" s="10"/>
      <c r="HJ502" s="10"/>
      <c r="HK502" s="10"/>
      <c r="HL502" s="10"/>
      <c r="HM502" s="10"/>
      <c r="HN502" s="10"/>
      <c r="HO502" s="10"/>
      <c r="HP502" s="10"/>
      <c r="HQ502" s="10"/>
      <c r="HR502" s="10"/>
      <c r="HS502" s="10"/>
      <c r="HT502" s="10"/>
      <c r="HU502" s="10"/>
      <c r="HV502" s="10"/>
      <c r="HW502" s="10"/>
      <c r="HX502" s="10"/>
      <c r="HY502" s="10"/>
      <c r="HZ502" s="10"/>
      <c r="IA502" s="10"/>
      <c r="IB502" s="10"/>
      <c r="IC502" s="10"/>
      <c r="ID502" s="10"/>
      <c r="IE502" s="10"/>
      <c r="IF502" s="10"/>
      <c r="IG502" s="10"/>
      <c r="IH502" s="10"/>
      <c r="II502" s="10"/>
      <c r="IJ502" s="10"/>
      <c r="IK502" s="10"/>
      <c r="IL502" s="10"/>
      <c r="IM502" s="10"/>
      <c r="IN502" s="10"/>
      <c r="IO502" s="10"/>
      <c r="IP502" s="10"/>
      <c r="IQ502" s="10"/>
      <c r="IR502" s="10"/>
      <c r="IS502" s="10"/>
      <c r="IT502" s="10"/>
      <c r="IU502" s="10"/>
      <c r="IV502" s="10"/>
      <c r="IW502" s="10"/>
    </row>
    <row r="503" spans="1:257">
      <c r="A503" s="34"/>
      <c r="B503" s="50"/>
      <c r="C503" s="24"/>
      <c r="D503" s="24"/>
      <c r="E503" s="24"/>
      <c r="F503" s="25"/>
      <c r="G503" s="25"/>
      <c r="H503" s="25"/>
      <c r="I503" s="25"/>
      <c r="J503" s="24"/>
      <c r="K503" s="25"/>
      <c r="L503" s="25"/>
      <c r="M503" s="25"/>
      <c r="N503" s="25"/>
      <c r="O503" s="25"/>
      <c r="P503" s="25"/>
      <c r="Q503" s="25"/>
      <c r="R503" s="24"/>
      <c r="S503" s="26">
        <f t="shared" si="31"/>
        <v>0</v>
      </c>
      <c r="T503" s="26">
        <f>COUNTIF($V$4:V503,V503)</f>
        <v>460</v>
      </c>
      <c r="U503" s="26" t="str">
        <f>IF(T503=1,COUNTIF($T$4:T503,1),"")</f>
        <v/>
      </c>
      <c r="V503" s="27" t="str">
        <f t="shared" si="33"/>
        <v/>
      </c>
      <c r="W503" s="27">
        <f t="shared" si="32"/>
        <v>0</v>
      </c>
      <c r="X503" s="28"/>
      <c r="Y503" s="27"/>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0"/>
      <c r="DJ503" s="10"/>
      <c r="DK503" s="10"/>
      <c r="DL503" s="10"/>
      <c r="DM503" s="10"/>
      <c r="DN503" s="10"/>
      <c r="DO503" s="10"/>
      <c r="DP503" s="10"/>
      <c r="DQ503" s="10"/>
      <c r="DR503" s="10"/>
      <c r="DS503" s="10"/>
      <c r="DT503" s="10"/>
      <c r="DU503" s="10"/>
      <c r="DV503" s="10"/>
      <c r="DW503" s="10"/>
      <c r="DX503" s="10"/>
      <c r="DY503" s="10"/>
      <c r="DZ503" s="10"/>
      <c r="EA503" s="10"/>
      <c r="EB503" s="10"/>
      <c r="EC503" s="10"/>
      <c r="ED503" s="10"/>
      <c r="EE503" s="10"/>
      <c r="EF503" s="10"/>
      <c r="EG503" s="10"/>
      <c r="EH503" s="10"/>
      <c r="EI503" s="10"/>
      <c r="EJ503" s="10"/>
      <c r="EK503" s="10"/>
      <c r="EL503" s="10"/>
      <c r="EM503" s="10"/>
      <c r="EN503" s="10"/>
      <c r="EO503" s="10"/>
      <c r="EP503" s="10"/>
      <c r="EQ503" s="10"/>
      <c r="ER503" s="10"/>
      <c r="ES503" s="10"/>
      <c r="ET503" s="10"/>
      <c r="EU503" s="10"/>
      <c r="EV503" s="10"/>
      <c r="EW503" s="10"/>
      <c r="EX503" s="10"/>
      <c r="EY503" s="10"/>
      <c r="EZ503" s="10"/>
      <c r="FA503" s="10"/>
      <c r="FB503" s="10"/>
      <c r="FC503" s="10"/>
      <c r="FD503" s="10"/>
      <c r="FE503" s="10"/>
      <c r="FF503" s="10"/>
      <c r="FG503" s="10"/>
      <c r="FH503" s="10"/>
      <c r="FI503" s="10"/>
      <c r="FJ503" s="10"/>
      <c r="FK503" s="10"/>
      <c r="FL503" s="10"/>
      <c r="FM503" s="10"/>
      <c r="FN503" s="10"/>
      <c r="FO503" s="10"/>
      <c r="FP503" s="10"/>
      <c r="FQ503" s="10"/>
      <c r="FR503" s="10"/>
      <c r="FS503" s="10"/>
      <c r="FT503" s="10"/>
      <c r="FU503" s="10"/>
      <c r="FV503" s="10"/>
      <c r="FW503" s="10"/>
      <c r="FX503" s="10"/>
      <c r="FY503" s="10"/>
      <c r="FZ503" s="10"/>
      <c r="GA503" s="10"/>
      <c r="GB503" s="10"/>
      <c r="GC503" s="10"/>
      <c r="GD503" s="10"/>
      <c r="GE503" s="10"/>
      <c r="GF503" s="10"/>
      <c r="GG503" s="10"/>
      <c r="GH503" s="10"/>
      <c r="GI503" s="10"/>
      <c r="GJ503" s="10"/>
      <c r="GK503" s="10"/>
      <c r="GL503" s="10"/>
      <c r="GM503" s="10"/>
      <c r="GN503" s="10"/>
      <c r="GO503" s="10"/>
      <c r="GP503" s="10"/>
      <c r="GQ503" s="10"/>
      <c r="GR503" s="10"/>
      <c r="GS503" s="10"/>
      <c r="GT503" s="10"/>
      <c r="GU503" s="10"/>
      <c r="GV503" s="10"/>
      <c r="GW503" s="10"/>
      <c r="GX503" s="10"/>
      <c r="GY503" s="10"/>
      <c r="GZ503" s="10"/>
      <c r="HA503" s="10"/>
      <c r="HB503" s="10"/>
      <c r="HC503" s="10"/>
      <c r="HD503" s="10"/>
      <c r="HE503" s="10"/>
      <c r="HF503" s="10"/>
      <c r="HG503" s="10"/>
      <c r="HH503" s="10"/>
      <c r="HI503" s="10"/>
      <c r="HJ503" s="10"/>
      <c r="HK503" s="10"/>
      <c r="HL503" s="10"/>
      <c r="HM503" s="10"/>
      <c r="HN503" s="10"/>
      <c r="HO503" s="10"/>
      <c r="HP503" s="10"/>
      <c r="HQ503" s="10"/>
      <c r="HR503" s="10"/>
      <c r="HS503" s="10"/>
      <c r="HT503" s="10"/>
      <c r="HU503" s="10"/>
      <c r="HV503" s="10"/>
      <c r="HW503" s="10"/>
      <c r="HX503" s="10"/>
      <c r="HY503" s="10"/>
      <c r="HZ503" s="10"/>
      <c r="IA503" s="10"/>
      <c r="IB503" s="10"/>
      <c r="IC503" s="10"/>
      <c r="ID503" s="10"/>
      <c r="IE503" s="10"/>
      <c r="IF503" s="10"/>
      <c r="IG503" s="10"/>
      <c r="IH503" s="10"/>
      <c r="II503" s="10"/>
      <c r="IJ503" s="10"/>
      <c r="IK503" s="10"/>
      <c r="IL503" s="10"/>
      <c r="IM503" s="10"/>
      <c r="IN503" s="10"/>
      <c r="IO503" s="10"/>
      <c r="IP503" s="10"/>
      <c r="IQ503" s="10"/>
      <c r="IR503" s="10"/>
      <c r="IS503" s="10"/>
      <c r="IT503" s="10"/>
      <c r="IU503" s="10"/>
      <c r="IV503" s="10"/>
      <c r="IW503" s="10"/>
    </row>
    <row r="504" spans="1:257">
      <c r="A504" s="34"/>
      <c r="B504" s="50"/>
      <c r="C504" s="24"/>
      <c r="D504" s="24"/>
      <c r="E504" s="24"/>
      <c r="F504" s="25"/>
      <c r="G504" s="25"/>
      <c r="H504" s="25"/>
      <c r="I504" s="25"/>
      <c r="J504" s="24"/>
      <c r="K504" s="25"/>
      <c r="L504" s="25"/>
      <c r="M504" s="25"/>
      <c r="N504" s="25"/>
      <c r="O504" s="25"/>
      <c r="P504" s="25"/>
      <c r="Q504" s="25"/>
      <c r="R504" s="24"/>
      <c r="S504" s="26">
        <f t="shared" si="31"/>
        <v>0</v>
      </c>
      <c r="T504" s="26">
        <f>COUNTIF($V$4:V504,V504)</f>
        <v>461</v>
      </c>
      <c r="U504" s="26" t="str">
        <f>IF(T504=1,COUNTIF($T$4:T504,1),"")</f>
        <v/>
      </c>
      <c r="V504" s="27" t="str">
        <f t="shared" si="33"/>
        <v/>
      </c>
      <c r="W504" s="27">
        <f t="shared" si="32"/>
        <v>0</v>
      </c>
      <c r="X504" s="28"/>
      <c r="Y504" s="27"/>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c r="EW504" s="10"/>
      <c r="EX504" s="10"/>
      <c r="EY504" s="10"/>
      <c r="EZ504" s="10"/>
      <c r="FA504" s="10"/>
      <c r="FB504" s="10"/>
      <c r="FC504" s="10"/>
      <c r="FD504" s="10"/>
      <c r="FE504" s="10"/>
      <c r="FF504" s="10"/>
      <c r="FG504" s="10"/>
      <c r="FH504" s="10"/>
      <c r="FI504" s="10"/>
      <c r="FJ504" s="10"/>
      <c r="FK504" s="10"/>
      <c r="FL504" s="10"/>
      <c r="FM504" s="10"/>
      <c r="FN504" s="10"/>
      <c r="FO504" s="10"/>
      <c r="FP504" s="10"/>
      <c r="FQ504" s="10"/>
      <c r="FR504" s="10"/>
      <c r="FS504" s="10"/>
      <c r="FT504" s="10"/>
      <c r="FU504" s="10"/>
      <c r="FV504" s="10"/>
      <c r="FW504" s="10"/>
      <c r="FX504" s="10"/>
      <c r="FY504" s="10"/>
      <c r="FZ504" s="10"/>
      <c r="GA504" s="10"/>
      <c r="GB504" s="10"/>
      <c r="GC504" s="10"/>
      <c r="GD504" s="10"/>
      <c r="GE504" s="10"/>
      <c r="GF504" s="10"/>
      <c r="GG504" s="10"/>
      <c r="GH504" s="10"/>
      <c r="GI504" s="10"/>
      <c r="GJ504" s="10"/>
      <c r="GK504" s="10"/>
      <c r="GL504" s="10"/>
      <c r="GM504" s="10"/>
      <c r="GN504" s="10"/>
      <c r="GO504" s="10"/>
      <c r="GP504" s="10"/>
      <c r="GQ504" s="10"/>
      <c r="GR504" s="10"/>
      <c r="GS504" s="10"/>
      <c r="GT504" s="10"/>
      <c r="GU504" s="10"/>
      <c r="GV504" s="10"/>
      <c r="GW504" s="10"/>
      <c r="GX504" s="10"/>
      <c r="GY504" s="10"/>
      <c r="GZ504" s="10"/>
      <c r="HA504" s="10"/>
      <c r="HB504" s="10"/>
      <c r="HC504" s="10"/>
      <c r="HD504" s="10"/>
      <c r="HE504" s="10"/>
      <c r="HF504" s="10"/>
      <c r="HG504" s="10"/>
      <c r="HH504" s="10"/>
      <c r="HI504" s="10"/>
      <c r="HJ504" s="10"/>
      <c r="HK504" s="10"/>
      <c r="HL504" s="10"/>
      <c r="HM504" s="10"/>
      <c r="HN504" s="10"/>
      <c r="HO504" s="10"/>
      <c r="HP504" s="10"/>
      <c r="HQ504" s="10"/>
      <c r="HR504" s="10"/>
      <c r="HS504" s="10"/>
      <c r="HT504" s="10"/>
      <c r="HU504" s="10"/>
      <c r="HV504" s="10"/>
      <c r="HW504" s="10"/>
      <c r="HX504" s="10"/>
      <c r="HY504" s="10"/>
      <c r="HZ504" s="10"/>
      <c r="IA504" s="10"/>
      <c r="IB504" s="10"/>
      <c r="IC504" s="10"/>
      <c r="ID504" s="10"/>
      <c r="IE504" s="10"/>
      <c r="IF504" s="10"/>
      <c r="IG504" s="10"/>
      <c r="IH504" s="10"/>
      <c r="II504" s="10"/>
      <c r="IJ504" s="10"/>
      <c r="IK504" s="10"/>
      <c r="IL504" s="10"/>
      <c r="IM504" s="10"/>
      <c r="IN504" s="10"/>
      <c r="IO504" s="10"/>
      <c r="IP504" s="10"/>
      <c r="IQ504" s="10"/>
      <c r="IR504" s="10"/>
      <c r="IS504" s="10"/>
      <c r="IT504" s="10"/>
      <c r="IU504" s="10"/>
      <c r="IV504" s="10"/>
      <c r="IW504" s="10"/>
    </row>
    <row r="505" spans="1:257">
      <c r="A505" s="34"/>
      <c r="B505" s="50"/>
      <c r="C505" s="24"/>
      <c r="D505" s="24"/>
      <c r="E505" s="24"/>
      <c r="F505" s="25"/>
      <c r="G505" s="25"/>
      <c r="H505" s="25"/>
      <c r="I505" s="25"/>
      <c r="J505" s="24"/>
      <c r="K505" s="25"/>
      <c r="L505" s="25"/>
      <c r="M505" s="25"/>
      <c r="N505" s="25"/>
      <c r="O505" s="25"/>
      <c r="P505" s="25"/>
      <c r="Q505" s="25"/>
      <c r="R505" s="24"/>
      <c r="S505" s="26">
        <f t="shared" si="31"/>
        <v>0</v>
      </c>
      <c r="T505" s="26">
        <f>COUNTIF($V$4:V505,V505)</f>
        <v>462</v>
      </c>
      <c r="U505" s="26" t="str">
        <f>IF(T505=1,COUNTIF($T$4:T505,1),"")</f>
        <v/>
      </c>
      <c r="V505" s="27" t="str">
        <f t="shared" si="33"/>
        <v/>
      </c>
      <c r="W505" s="27">
        <f t="shared" si="32"/>
        <v>0</v>
      </c>
      <c r="X505" s="28"/>
      <c r="Y505" s="27"/>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0"/>
      <c r="DJ505" s="10"/>
      <c r="DK505" s="10"/>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c r="EW505" s="10"/>
      <c r="EX505" s="10"/>
      <c r="EY505" s="10"/>
      <c r="EZ505" s="10"/>
      <c r="FA505" s="10"/>
      <c r="FB505" s="10"/>
      <c r="FC505" s="10"/>
      <c r="FD505" s="10"/>
      <c r="FE505" s="10"/>
      <c r="FF505" s="10"/>
      <c r="FG505" s="10"/>
      <c r="FH505" s="10"/>
      <c r="FI505" s="10"/>
      <c r="FJ505" s="10"/>
      <c r="FK505" s="10"/>
      <c r="FL505" s="10"/>
      <c r="FM505" s="10"/>
      <c r="FN505" s="10"/>
      <c r="FO505" s="10"/>
      <c r="FP505" s="10"/>
      <c r="FQ505" s="10"/>
      <c r="FR505" s="10"/>
      <c r="FS505" s="10"/>
      <c r="FT505" s="10"/>
      <c r="FU505" s="10"/>
      <c r="FV505" s="10"/>
      <c r="FW505" s="10"/>
      <c r="FX505" s="10"/>
      <c r="FY505" s="10"/>
      <c r="FZ505" s="10"/>
      <c r="GA505" s="10"/>
      <c r="GB505" s="10"/>
      <c r="GC505" s="10"/>
      <c r="GD505" s="10"/>
      <c r="GE505" s="10"/>
      <c r="GF505" s="10"/>
      <c r="GG505" s="10"/>
      <c r="GH505" s="10"/>
      <c r="GI505" s="10"/>
      <c r="GJ505" s="10"/>
      <c r="GK505" s="10"/>
      <c r="GL505" s="10"/>
      <c r="GM505" s="10"/>
      <c r="GN505" s="10"/>
      <c r="GO505" s="10"/>
      <c r="GP505" s="10"/>
      <c r="GQ505" s="10"/>
      <c r="GR505" s="10"/>
      <c r="GS505" s="10"/>
      <c r="GT505" s="10"/>
      <c r="GU505" s="10"/>
      <c r="GV505" s="10"/>
      <c r="GW505" s="10"/>
      <c r="GX505" s="10"/>
      <c r="GY505" s="10"/>
      <c r="GZ505" s="10"/>
      <c r="HA505" s="10"/>
      <c r="HB505" s="10"/>
      <c r="HC505" s="10"/>
      <c r="HD505" s="10"/>
      <c r="HE505" s="10"/>
      <c r="HF505" s="10"/>
      <c r="HG505" s="10"/>
      <c r="HH505" s="10"/>
      <c r="HI505" s="10"/>
      <c r="HJ505" s="10"/>
      <c r="HK505" s="10"/>
      <c r="HL505" s="10"/>
      <c r="HM505" s="10"/>
      <c r="HN505" s="10"/>
      <c r="HO505" s="10"/>
      <c r="HP505" s="10"/>
      <c r="HQ505" s="10"/>
      <c r="HR505" s="10"/>
      <c r="HS505" s="10"/>
      <c r="HT505" s="10"/>
      <c r="HU505" s="10"/>
      <c r="HV505" s="10"/>
      <c r="HW505" s="10"/>
      <c r="HX505" s="10"/>
      <c r="HY505" s="10"/>
      <c r="HZ505" s="10"/>
      <c r="IA505" s="10"/>
      <c r="IB505" s="10"/>
      <c r="IC505" s="10"/>
      <c r="ID505" s="10"/>
      <c r="IE505" s="10"/>
      <c r="IF505" s="10"/>
      <c r="IG505" s="10"/>
      <c r="IH505" s="10"/>
      <c r="II505" s="10"/>
      <c r="IJ505" s="10"/>
      <c r="IK505" s="10"/>
      <c r="IL505" s="10"/>
      <c r="IM505" s="10"/>
      <c r="IN505" s="10"/>
      <c r="IO505" s="10"/>
      <c r="IP505" s="10"/>
      <c r="IQ505" s="10"/>
      <c r="IR505" s="10"/>
      <c r="IS505" s="10"/>
      <c r="IT505" s="10"/>
      <c r="IU505" s="10"/>
      <c r="IV505" s="10"/>
      <c r="IW505" s="10"/>
    </row>
    <row r="506" spans="1:257">
      <c r="A506" s="34"/>
      <c r="B506" s="50"/>
      <c r="C506" s="24"/>
      <c r="D506" s="24"/>
      <c r="E506" s="24"/>
      <c r="F506" s="25"/>
      <c r="G506" s="25"/>
      <c r="H506" s="25"/>
      <c r="I506" s="25"/>
      <c r="J506" s="24"/>
      <c r="K506" s="25"/>
      <c r="L506" s="25"/>
      <c r="M506" s="25"/>
      <c r="N506" s="25"/>
      <c r="O506" s="25"/>
      <c r="P506" s="25"/>
      <c r="Q506" s="25"/>
      <c r="R506" s="24"/>
      <c r="S506" s="26">
        <f t="shared" si="31"/>
        <v>0</v>
      </c>
      <c r="T506" s="26">
        <f>COUNTIF($V$4:V506,V506)</f>
        <v>463</v>
      </c>
      <c r="U506" s="26" t="str">
        <f>IF(T506=1,COUNTIF($T$4:T506,1),"")</f>
        <v/>
      </c>
      <c r="V506" s="27" t="str">
        <f t="shared" si="33"/>
        <v/>
      </c>
      <c r="W506" s="27">
        <f t="shared" si="32"/>
        <v>0</v>
      </c>
      <c r="X506" s="28"/>
      <c r="Y506" s="27"/>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0"/>
      <c r="DJ506" s="10"/>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c r="EW506" s="10"/>
      <c r="EX506" s="10"/>
      <c r="EY506" s="10"/>
      <c r="EZ506" s="10"/>
      <c r="FA506" s="10"/>
      <c r="FB506" s="10"/>
      <c r="FC506" s="10"/>
      <c r="FD506" s="10"/>
      <c r="FE506" s="10"/>
      <c r="FF506" s="10"/>
      <c r="FG506" s="10"/>
      <c r="FH506" s="10"/>
      <c r="FI506" s="10"/>
      <c r="FJ506" s="10"/>
      <c r="FK506" s="10"/>
      <c r="FL506" s="10"/>
      <c r="FM506" s="10"/>
      <c r="FN506" s="10"/>
      <c r="FO506" s="10"/>
      <c r="FP506" s="10"/>
      <c r="FQ506" s="10"/>
      <c r="FR506" s="10"/>
      <c r="FS506" s="10"/>
      <c r="FT506" s="10"/>
      <c r="FU506" s="10"/>
      <c r="FV506" s="10"/>
      <c r="FW506" s="10"/>
      <c r="FX506" s="10"/>
      <c r="FY506" s="10"/>
      <c r="FZ506" s="10"/>
      <c r="GA506" s="10"/>
      <c r="GB506" s="10"/>
      <c r="GC506" s="10"/>
      <c r="GD506" s="10"/>
      <c r="GE506" s="10"/>
      <c r="GF506" s="10"/>
      <c r="GG506" s="10"/>
      <c r="GH506" s="10"/>
      <c r="GI506" s="10"/>
      <c r="GJ506" s="10"/>
      <c r="GK506" s="10"/>
      <c r="GL506" s="10"/>
      <c r="GM506" s="10"/>
      <c r="GN506" s="10"/>
      <c r="GO506" s="10"/>
      <c r="GP506" s="10"/>
      <c r="GQ506" s="10"/>
      <c r="GR506" s="10"/>
      <c r="GS506" s="10"/>
      <c r="GT506" s="10"/>
      <c r="GU506" s="10"/>
      <c r="GV506" s="10"/>
      <c r="GW506" s="10"/>
      <c r="GX506" s="10"/>
      <c r="GY506" s="10"/>
      <c r="GZ506" s="10"/>
      <c r="HA506" s="10"/>
      <c r="HB506" s="10"/>
      <c r="HC506" s="10"/>
      <c r="HD506" s="10"/>
      <c r="HE506" s="10"/>
      <c r="HF506" s="10"/>
      <c r="HG506" s="10"/>
      <c r="HH506" s="10"/>
      <c r="HI506" s="10"/>
      <c r="HJ506" s="10"/>
      <c r="HK506" s="10"/>
      <c r="HL506" s="10"/>
      <c r="HM506" s="10"/>
      <c r="HN506" s="10"/>
      <c r="HO506" s="10"/>
      <c r="HP506" s="10"/>
      <c r="HQ506" s="10"/>
      <c r="HR506" s="10"/>
      <c r="HS506" s="10"/>
      <c r="HT506" s="10"/>
      <c r="HU506" s="10"/>
      <c r="HV506" s="10"/>
      <c r="HW506" s="10"/>
      <c r="HX506" s="10"/>
      <c r="HY506" s="10"/>
      <c r="HZ506" s="10"/>
      <c r="IA506" s="10"/>
      <c r="IB506" s="10"/>
      <c r="IC506" s="10"/>
      <c r="ID506" s="10"/>
      <c r="IE506" s="10"/>
      <c r="IF506" s="10"/>
      <c r="IG506" s="10"/>
      <c r="IH506" s="10"/>
      <c r="II506" s="10"/>
      <c r="IJ506" s="10"/>
      <c r="IK506" s="10"/>
      <c r="IL506" s="10"/>
      <c r="IM506" s="10"/>
      <c r="IN506" s="10"/>
      <c r="IO506" s="10"/>
      <c r="IP506" s="10"/>
      <c r="IQ506" s="10"/>
      <c r="IR506" s="10"/>
      <c r="IS506" s="10"/>
      <c r="IT506" s="10"/>
      <c r="IU506" s="10"/>
      <c r="IV506" s="10"/>
      <c r="IW506" s="10"/>
    </row>
    <row r="507" spans="1:257">
      <c r="A507" s="34"/>
      <c r="B507" s="50"/>
      <c r="C507" s="24"/>
      <c r="D507" s="24"/>
      <c r="E507" s="24"/>
      <c r="F507" s="25"/>
      <c r="G507" s="25"/>
      <c r="H507" s="25"/>
      <c r="I507" s="25"/>
      <c r="J507" s="24"/>
      <c r="K507" s="25"/>
      <c r="L507" s="25"/>
      <c r="M507" s="25"/>
      <c r="N507" s="25"/>
      <c r="O507" s="25"/>
      <c r="P507" s="25"/>
      <c r="Q507" s="25"/>
      <c r="R507" s="24"/>
      <c r="S507" s="26">
        <f t="shared" si="31"/>
        <v>0</v>
      </c>
      <c r="T507" s="26">
        <f>COUNTIF($V$4:V507,V507)</f>
        <v>464</v>
      </c>
      <c r="U507" s="26" t="str">
        <f>IF(T507=1,COUNTIF($T$4:T507,1),"")</f>
        <v/>
      </c>
      <c r="V507" s="27" t="str">
        <f t="shared" si="33"/>
        <v/>
      </c>
      <c r="W507" s="27">
        <f t="shared" si="32"/>
        <v>0</v>
      </c>
      <c r="X507" s="28"/>
      <c r="Y507" s="27"/>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c r="EW507" s="10"/>
      <c r="EX507" s="10"/>
      <c r="EY507" s="10"/>
      <c r="EZ507" s="10"/>
      <c r="FA507" s="10"/>
      <c r="FB507" s="10"/>
      <c r="FC507" s="10"/>
      <c r="FD507" s="10"/>
      <c r="FE507" s="10"/>
      <c r="FF507" s="10"/>
      <c r="FG507" s="10"/>
      <c r="FH507" s="10"/>
      <c r="FI507" s="10"/>
      <c r="FJ507" s="10"/>
      <c r="FK507" s="10"/>
      <c r="FL507" s="10"/>
      <c r="FM507" s="10"/>
      <c r="FN507" s="10"/>
      <c r="FO507" s="10"/>
      <c r="FP507" s="10"/>
      <c r="FQ507" s="10"/>
      <c r="FR507" s="10"/>
      <c r="FS507" s="10"/>
      <c r="FT507" s="10"/>
      <c r="FU507" s="10"/>
      <c r="FV507" s="10"/>
      <c r="FW507" s="10"/>
      <c r="FX507" s="10"/>
      <c r="FY507" s="10"/>
      <c r="FZ507" s="10"/>
      <c r="GA507" s="10"/>
      <c r="GB507" s="10"/>
      <c r="GC507" s="10"/>
      <c r="GD507" s="10"/>
      <c r="GE507" s="10"/>
      <c r="GF507" s="10"/>
      <c r="GG507" s="10"/>
      <c r="GH507" s="10"/>
      <c r="GI507" s="10"/>
      <c r="GJ507" s="10"/>
      <c r="GK507" s="10"/>
      <c r="GL507" s="10"/>
      <c r="GM507" s="10"/>
      <c r="GN507" s="10"/>
      <c r="GO507" s="10"/>
      <c r="GP507" s="10"/>
      <c r="GQ507" s="10"/>
      <c r="GR507" s="10"/>
      <c r="GS507" s="10"/>
      <c r="GT507" s="10"/>
      <c r="GU507" s="10"/>
      <c r="GV507" s="10"/>
      <c r="GW507" s="10"/>
      <c r="GX507" s="10"/>
      <c r="GY507" s="10"/>
      <c r="GZ507" s="10"/>
      <c r="HA507" s="10"/>
      <c r="HB507" s="10"/>
      <c r="HC507" s="10"/>
      <c r="HD507" s="10"/>
      <c r="HE507" s="10"/>
      <c r="HF507" s="10"/>
      <c r="HG507" s="10"/>
      <c r="HH507" s="10"/>
      <c r="HI507" s="10"/>
      <c r="HJ507" s="10"/>
      <c r="HK507" s="10"/>
      <c r="HL507" s="10"/>
      <c r="HM507" s="10"/>
      <c r="HN507" s="10"/>
      <c r="HO507" s="10"/>
      <c r="HP507" s="10"/>
      <c r="HQ507" s="10"/>
      <c r="HR507" s="10"/>
      <c r="HS507" s="10"/>
      <c r="HT507" s="10"/>
      <c r="HU507" s="10"/>
      <c r="HV507" s="10"/>
      <c r="HW507" s="10"/>
      <c r="HX507" s="10"/>
      <c r="HY507" s="10"/>
      <c r="HZ507" s="10"/>
      <c r="IA507" s="10"/>
      <c r="IB507" s="10"/>
      <c r="IC507" s="10"/>
      <c r="ID507" s="10"/>
      <c r="IE507" s="10"/>
      <c r="IF507" s="10"/>
      <c r="IG507" s="10"/>
      <c r="IH507" s="10"/>
      <c r="II507" s="10"/>
      <c r="IJ507" s="10"/>
      <c r="IK507" s="10"/>
      <c r="IL507" s="10"/>
      <c r="IM507" s="10"/>
      <c r="IN507" s="10"/>
      <c r="IO507" s="10"/>
      <c r="IP507" s="10"/>
      <c r="IQ507" s="10"/>
      <c r="IR507" s="10"/>
      <c r="IS507" s="10"/>
      <c r="IT507" s="10"/>
      <c r="IU507" s="10"/>
      <c r="IV507" s="10"/>
      <c r="IW507" s="10"/>
    </row>
    <row r="508" spans="1:257">
      <c r="A508" s="34"/>
      <c r="B508" s="50"/>
      <c r="C508" s="24"/>
      <c r="D508" s="24"/>
      <c r="E508" s="24"/>
      <c r="F508" s="25"/>
      <c r="G508" s="25"/>
      <c r="H508" s="25"/>
      <c r="I508" s="25"/>
      <c r="J508" s="24"/>
      <c r="K508" s="25"/>
      <c r="L508" s="25"/>
      <c r="M508" s="25"/>
      <c r="N508" s="25"/>
      <c r="O508" s="25"/>
      <c r="P508" s="25"/>
      <c r="Q508" s="25"/>
      <c r="R508" s="24"/>
      <c r="S508" s="26">
        <f t="shared" si="31"/>
        <v>0</v>
      </c>
      <c r="T508" s="26">
        <f>COUNTIF($V$4:V508,V508)</f>
        <v>465</v>
      </c>
      <c r="U508" s="26" t="str">
        <f>IF(T508=1,COUNTIF($T$4:T508,1),"")</f>
        <v/>
      </c>
      <c r="V508" s="27" t="str">
        <f t="shared" si="33"/>
        <v/>
      </c>
      <c r="W508" s="27">
        <f t="shared" si="32"/>
        <v>0</v>
      </c>
      <c r="X508" s="28"/>
      <c r="Y508" s="27"/>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c r="EW508" s="10"/>
      <c r="EX508" s="10"/>
      <c r="EY508" s="10"/>
      <c r="EZ508" s="10"/>
      <c r="FA508" s="10"/>
      <c r="FB508" s="10"/>
      <c r="FC508" s="10"/>
      <c r="FD508" s="10"/>
      <c r="FE508" s="10"/>
      <c r="FF508" s="10"/>
      <c r="FG508" s="10"/>
      <c r="FH508" s="10"/>
      <c r="FI508" s="10"/>
      <c r="FJ508" s="10"/>
      <c r="FK508" s="10"/>
      <c r="FL508" s="10"/>
      <c r="FM508" s="10"/>
      <c r="FN508" s="10"/>
      <c r="FO508" s="10"/>
      <c r="FP508" s="10"/>
      <c r="FQ508" s="10"/>
      <c r="FR508" s="10"/>
      <c r="FS508" s="10"/>
      <c r="FT508" s="10"/>
      <c r="FU508" s="10"/>
      <c r="FV508" s="10"/>
      <c r="FW508" s="10"/>
      <c r="FX508" s="10"/>
      <c r="FY508" s="10"/>
      <c r="FZ508" s="10"/>
      <c r="GA508" s="10"/>
      <c r="GB508" s="10"/>
      <c r="GC508" s="10"/>
      <c r="GD508" s="10"/>
      <c r="GE508" s="10"/>
      <c r="GF508" s="10"/>
      <c r="GG508" s="10"/>
      <c r="GH508" s="10"/>
      <c r="GI508" s="10"/>
      <c r="GJ508" s="10"/>
      <c r="GK508" s="10"/>
      <c r="GL508" s="10"/>
      <c r="GM508" s="10"/>
      <c r="GN508" s="10"/>
      <c r="GO508" s="10"/>
      <c r="GP508" s="10"/>
      <c r="GQ508" s="10"/>
      <c r="GR508" s="10"/>
      <c r="GS508" s="10"/>
      <c r="GT508" s="10"/>
      <c r="GU508" s="10"/>
      <c r="GV508" s="10"/>
      <c r="GW508" s="10"/>
      <c r="GX508" s="10"/>
      <c r="GY508" s="10"/>
      <c r="GZ508" s="10"/>
      <c r="HA508" s="10"/>
      <c r="HB508" s="10"/>
      <c r="HC508" s="10"/>
      <c r="HD508" s="10"/>
      <c r="HE508" s="10"/>
      <c r="HF508" s="10"/>
      <c r="HG508" s="10"/>
      <c r="HH508" s="10"/>
      <c r="HI508" s="10"/>
      <c r="HJ508" s="10"/>
      <c r="HK508" s="10"/>
      <c r="HL508" s="10"/>
      <c r="HM508" s="10"/>
      <c r="HN508" s="10"/>
      <c r="HO508" s="10"/>
      <c r="HP508" s="10"/>
      <c r="HQ508" s="10"/>
      <c r="HR508" s="10"/>
      <c r="HS508" s="10"/>
      <c r="HT508" s="10"/>
      <c r="HU508" s="10"/>
      <c r="HV508" s="10"/>
      <c r="HW508" s="10"/>
      <c r="HX508" s="10"/>
      <c r="HY508" s="10"/>
      <c r="HZ508" s="10"/>
      <c r="IA508" s="10"/>
      <c r="IB508" s="10"/>
      <c r="IC508" s="10"/>
      <c r="ID508" s="10"/>
      <c r="IE508" s="10"/>
      <c r="IF508" s="10"/>
      <c r="IG508" s="10"/>
      <c r="IH508" s="10"/>
      <c r="II508" s="10"/>
      <c r="IJ508" s="10"/>
      <c r="IK508" s="10"/>
      <c r="IL508" s="10"/>
      <c r="IM508" s="10"/>
      <c r="IN508" s="10"/>
      <c r="IO508" s="10"/>
      <c r="IP508" s="10"/>
      <c r="IQ508" s="10"/>
      <c r="IR508" s="10"/>
      <c r="IS508" s="10"/>
      <c r="IT508" s="10"/>
      <c r="IU508" s="10"/>
      <c r="IV508" s="10"/>
      <c r="IW508" s="10"/>
    </row>
    <row r="509" spans="1:257">
      <c r="A509" s="34"/>
      <c r="B509" s="50"/>
      <c r="C509" s="24"/>
      <c r="D509" s="24"/>
      <c r="E509" s="24"/>
      <c r="F509" s="25"/>
      <c r="G509" s="25"/>
      <c r="H509" s="25"/>
      <c r="I509" s="25"/>
      <c r="J509" s="24"/>
      <c r="K509" s="25"/>
      <c r="L509" s="25"/>
      <c r="M509" s="25"/>
      <c r="N509" s="25"/>
      <c r="O509" s="25"/>
      <c r="P509" s="25"/>
      <c r="Q509" s="25"/>
      <c r="R509" s="24"/>
      <c r="S509" s="26">
        <f t="shared" si="31"/>
        <v>0</v>
      </c>
      <c r="T509" s="26">
        <f>COUNTIF($V$4:V509,V509)</f>
        <v>466</v>
      </c>
      <c r="U509" s="26" t="str">
        <f>IF(T509=1,COUNTIF($T$4:T509,1),"")</f>
        <v/>
      </c>
      <c r="V509" s="27" t="str">
        <f t="shared" si="33"/>
        <v/>
      </c>
      <c r="W509" s="27">
        <f t="shared" si="32"/>
        <v>0</v>
      </c>
      <c r="X509" s="28"/>
      <c r="Y509" s="27"/>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c r="DI509" s="10"/>
      <c r="DJ509" s="10"/>
      <c r="DK509" s="10"/>
      <c r="DL509" s="10"/>
      <c r="DM509" s="10"/>
      <c r="DN509" s="10"/>
      <c r="DO509" s="10"/>
      <c r="DP509" s="10"/>
      <c r="DQ509" s="10"/>
      <c r="DR509" s="10"/>
      <c r="DS509" s="10"/>
      <c r="DT509" s="10"/>
      <c r="DU509" s="10"/>
      <c r="DV509" s="10"/>
      <c r="DW509" s="10"/>
      <c r="DX509" s="10"/>
      <c r="DY509" s="10"/>
      <c r="DZ509" s="10"/>
      <c r="EA509" s="10"/>
      <c r="EB509" s="10"/>
      <c r="EC509" s="10"/>
      <c r="ED509" s="10"/>
      <c r="EE509" s="10"/>
      <c r="EF509" s="10"/>
      <c r="EG509" s="10"/>
      <c r="EH509" s="10"/>
      <c r="EI509" s="10"/>
      <c r="EJ509" s="10"/>
      <c r="EK509" s="10"/>
      <c r="EL509" s="10"/>
      <c r="EM509" s="10"/>
      <c r="EN509" s="10"/>
      <c r="EO509" s="10"/>
      <c r="EP509" s="10"/>
      <c r="EQ509" s="10"/>
      <c r="ER509" s="10"/>
      <c r="ES509" s="10"/>
      <c r="ET509" s="10"/>
      <c r="EU509" s="10"/>
      <c r="EV509" s="10"/>
      <c r="EW509" s="10"/>
      <c r="EX509" s="10"/>
      <c r="EY509" s="10"/>
      <c r="EZ509" s="10"/>
      <c r="FA509" s="10"/>
      <c r="FB509" s="10"/>
      <c r="FC509" s="10"/>
      <c r="FD509" s="10"/>
      <c r="FE509" s="10"/>
      <c r="FF509" s="10"/>
      <c r="FG509" s="10"/>
      <c r="FH509" s="10"/>
      <c r="FI509" s="10"/>
      <c r="FJ509" s="10"/>
      <c r="FK509" s="10"/>
      <c r="FL509" s="10"/>
      <c r="FM509" s="10"/>
      <c r="FN509" s="10"/>
      <c r="FO509" s="10"/>
      <c r="FP509" s="10"/>
      <c r="FQ509" s="10"/>
      <c r="FR509" s="10"/>
      <c r="FS509" s="10"/>
      <c r="FT509" s="10"/>
      <c r="FU509" s="10"/>
      <c r="FV509" s="10"/>
      <c r="FW509" s="10"/>
      <c r="FX509" s="10"/>
      <c r="FY509" s="10"/>
      <c r="FZ509" s="10"/>
      <c r="GA509" s="10"/>
      <c r="GB509" s="10"/>
      <c r="GC509" s="10"/>
      <c r="GD509" s="10"/>
      <c r="GE509" s="10"/>
      <c r="GF509" s="10"/>
      <c r="GG509" s="10"/>
      <c r="GH509" s="10"/>
      <c r="GI509" s="10"/>
      <c r="GJ509" s="10"/>
      <c r="GK509" s="10"/>
      <c r="GL509" s="10"/>
      <c r="GM509" s="10"/>
      <c r="GN509" s="10"/>
      <c r="GO509" s="10"/>
      <c r="GP509" s="10"/>
      <c r="GQ509" s="10"/>
      <c r="GR509" s="10"/>
      <c r="GS509" s="10"/>
      <c r="GT509" s="10"/>
      <c r="GU509" s="10"/>
      <c r="GV509" s="10"/>
      <c r="GW509" s="10"/>
      <c r="GX509" s="10"/>
      <c r="GY509" s="10"/>
      <c r="GZ509" s="10"/>
      <c r="HA509" s="10"/>
      <c r="HB509" s="10"/>
      <c r="HC509" s="10"/>
      <c r="HD509" s="10"/>
      <c r="HE509" s="10"/>
      <c r="HF509" s="10"/>
      <c r="HG509" s="10"/>
      <c r="HH509" s="10"/>
      <c r="HI509" s="10"/>
      <c r="HJ509" s="10"/>
      <c r="HK509" s="10"/>
      <c r="HL509" s="10"/>
      <c r="HM509" s="10"/>
      <c r="HN509" s="10"/>
      <c r="HO509" s="10"/>
      <c r="HP509" s="10"/>
      <c r="HQ509" s="10"/>
      <c r="HR509" s="10"/>
      <c r="HS509" s="10"/>
      <c r="HT509" s="10"/>
      <c r="HU509" s="10"/>
      <c r="HV509" s="10"/>
      <c r="HW509" s="10"/>
      <c r="HX509" s="10"/>
      <c r="HY509" s="10"/>
      <c r="HZ509" s="10"/>
      <c r="IA509" s="10"/>
      <c r="IB509" s="10"/>
      <c r="IC509" s="10"/>
      <c r="ID509" s="10"/>
      <c r="IE509" s="10"/>
      <c r="IF509" s="10"/>
      <c r="IG509" s="10"/>
      <c r="IH509" s="10"/>
      <c r="II509" s="10"/>
      <c r="IJ509" s="10"/>
      <c r="IK509" s="10"/>
      <c r="IL509" s="10"/>
      <c r="IM509" s="10"/>
      <c r="IN509" s="10"/>
      <c r="IO509" s="10"/>
      <c r="IP509" s="10"/>
      <c r="IQ509" s="10"/>
      <c r="IR509" s="10"/>
      <c r="IS509" s="10"/>
      <c r="IT509" s="10"/>
      <c r="IU509" s="10"/>
      <c r="IV509" s="10"/>
      <c r="IW509" s="10"/>
    </row>
    <row r="510" spans="1:257">
      <c r="A510" s="34"/>
      <c r="B510" s="50"/>
      <c r="C510" s="24"/>
      <c r="D510" s="24"/>
      <c r="E510" s="24"/>
      <c r="F510" s="25"/>
      <c r="G510" s="25"/>
      <c r="H510" s="25"/>
      <c r="I510" s="25"/>
      <c r="J510" s="24"/>
      <c r="K510" s="25"/>
      <c r="L510" s="25"/>
      <c r="M510" s="25"/>
      <c r="N510" s="25"/>
      <c r="O510" s="25"/>
      <c r="P510" s="25"/>
      <c r="Q510" s="25"/>
      <c r="R510" s="24"/>
      <c r="S510" s="26">
        <f t="shared" si="31"/>
        <v>0</v>
      </c>
      <c r="T510" s="26">
        <f>COUNTIF($V$4:V510,V510)</f>
        <v>467</v>
      </c>
      <c r="U510" s="26" t="str">
        <f>IF(T510=1,COUNTIF($T$4:T510,1),"")</f>
        <v/>
      </c>
      <c r="V510" s="27" t="str">
        <f t="shared" si="33"/>
        <v/>
      </c>
      <c r="W510" s="27">
        <f t="shared" si="32"/>
        <v>0</v>
      </c>
      <c r="X510" s="28"/>
      <c r="Y510" s="27"/>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c r="EW510" s="10"/>
      <c r="EX510" s="10"/>
      <c r="EY510" s="10"/>
      <c r="EZ510" s="10"/>
      <c r="FA510" s="10"/>
      <c r="FB510" s="10"/>
      <c r="FC510" s="10"/>
      <c r="FD510" s="10"/>
      <c r="FE510" s="10"/>
      <c r="FF510" s="10"/>
      <c r="FG510" s="10"/>
      <c r="FH510" s="10"/>
      <c r="FI510" s="10"/>
      <c r="FJ510" s="10"/>
      <c r="FK510" s="10"/>
      <c r="FL510" s="10"/>
      <c r="FM510" s="10"/>
      <c r="FN510" s="10"/>
      <c r="FO510" s="10"/>
      <c r="FP510" s="10"/>
      <c r="FQ510" s="10"/>
      <c r="FR510" s="10"/>
      <c r="FS510" s="10"/>
      <c r="FT510" s="10"/>
      <c r="FU510" s="10"/>
      <c r="FV510" s="10"/>
      <c r="FW510" s="10"/>
      <c r="FX510" s="10"/>
      <c r="FY510" s="10"/>
      <c r="FZ510" s="10"/>
      <c r="GA510" s="10"/>
      <c r="GB510" s="10"/>
      <c r="GC510" s="10"/>
      <c r="GD510" s="10"/>
      <c r="GE510" s="10"/>
      <c r="GF510" s="10"/>
      <c r="GG510" s="10"/>
      <c r="GH510" s="10"/>
      <c r="GI510" s="10"/>
      <c r="GJ510" s="10"/>
      <c r="GK510" s="10"/>
      <c r="GL510" s="10"/>
      <c r="GM510" s="10"/>
      <c r="GN510" s="10"/>
      <c r="GO510" s="10"/>
      <c r="GP510" s="10"/>
      <c r="GQ510" s="10"/>
      <c r="GR510" s="10"/>
      <c r="GS510" s="10"/>
      <c r="GT510" s="10"/>
      <c r="GU510" s="10"/>
      <c r="GV510" s="10"/>
      <c r="GW510" s="10"/>
      <c r="GX510" s="10"/>
      <c r="GY510" s="10"/>
      <c r="GZ510" s="10"/>
      <c r="HA510" s="10"/>
      <c r="HB510" s="10"/>
      <c r="HC510" s="10"/>
      <c r="HD510" s="10"/>
      <c r="HE510" s="10"/>
      <c r="HF510" s="10"/>
      <c r="HG510" s="10"/>
      <c r="HH510" s="10"/>
      <c r="HI510" s="10"/>
      <c r="HJ510" s="10"/>
      <c r="HK510" s="10"/>
      <c r="HL510" s="10"/>
      <c r="HM510" s="10"/>
      <c r="HN510" s="10"/>
      <c r="HO510" s="10"/>
      <c r="HP510" s="10"/>
      <c r="HQ510" s="10"/>
      <c r="HR510" s="10"/>
      <c r="HS510" s="10"/>
      <c r="HT510" s="10"/>
      <c r="HU510" s="10"/>
      <c r="HV510" s="10"/>
      <c r="HW510" s="10"/>
      <c r="HX510" s="10"/>
      <c r="HY510" s="10"/>
      <c r="HZ510" s="10"/>
      <c r="IA510" s="10"/>
      <c r="IB510" s="10"/>
      <c r="IC510" s="10"/>
      <c r="ID510" s="10"/>
      <c r="IE510" s="10"/>
      <c r="IF510" s="10"/>
      <c r="IG510" s="10"/>
      <c r="IH510" s="10"/>
      <c r="II510" s="10"/>
      <c r="IJ510" s="10"/>
      <c r="IK510" s="10"/>
      <c r="IL510" s="10"/>
      <c r="IM510" s="10"/>
      <c r="IN510" s="10"/>
      <c r="IO510" s="10"/>
      <c r="IP510" s="10"/>
      <c r="IQ510" s="10"/>
      <c r="IR510" s="10"/>
      <c r="IS510" s="10"/>
      <c r="IT510" s="10"/>
      <c r="IU510" s="10"/>
      <c r="IV510" s="10"/>
      <c r="IW510" s="10"/>
    </row>
    <row r="511" spans="1:257">
      <c r="A511" s="34"/>
      <c r="B511" s="50"/>
      <c r="C511" s="24"/>
      <c r="D511" s="24"/>
      <c r="E511" s="24"/>
      <c r="F511" s="25"/>
      <c r="G511" s="25"/>
      <c r="H511" s="25"/>
      <c r="I511" s="25"/>
      <c r="J511" s="24"/>
      <c r="K511" s="25"/>
      <c r="L511" s="25"/>
      <c r="M511" s="25"/>
      <c r="N511" s="25"/>
      <c r="O511" s="25"/>
      <c r="P511" s="25"/>
      <c r="Q511" s="25"/>
      <c r="R511" s="24"/>
      <c r="S511" s="26">
        <f t="shared" si="31"/>
        <v>0</v>
      </c>
      <c r="T511" s="26">
        <f>COUNTIF($V$4:V511,V511)</f>
        <v>468</v>
      </c>
      <c r="U511" s="26" t="str">
        <f>IF(T511=1,COUNTIF($T$4:T511,1),"")</f>
        <v/>
      </c>
      <c r="V511" s="27" t="str">
        <f t="shared" si="33"/>
        <v/>
      </c>
      <c r="W511" s="27">
        <f t="shared" si="32"/>
        <v>0</v>
      </c>
      <c r="X511" s="28"/>
      <c r="Y511" s="27"/>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0"/>
      <c r="DJ511" s="10"/>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c r="EW511" s="10"/>
      <c r="EX511" s="10"/>
      <c r="EY511" s="10"/>
      <c r="EZ511" s="10"/>
      <c r="FA511" s="10"/>
      <c r="FB511" s="10"/>
      <c r="FC511" s="10"/>
      <c r="FD511" s="10"/>
      <c r="FE511" s="10"/>
      <c r="FF511" s="10"/>
      <c r="FG511" s="10"/>
      <c r="FH511" s="10"/>
      <c r="FI511" s="10"/>
      <c r="FJ511" s="10"/>
      <c r="FK511" s="10"/>
      <c r="FL511" s="10"/>
      <c r="FM511" s="10"/>
      <c r="FN511" s="10"/>
      <c r="FO511" s="10"/>
      <c r="FP511" s="10"/>
      <c r="FQ511" s="10"/>
      <c r="FR511" s="10"/>
      <c r="FS511" s="10"/>
      <c r="FT511" s="10"/>
      <c r="FU511" s="10"/>
      <c r="FV511" s="10"/>
      <c r="FW511" s="10"/>
      <c r="FX511" s="10"/>
      <c r="FY511" s="10"/>
      <c r="FZ511" s="10"/>
      <c r="GA511" s="10"/>
      <c r="GB511" s="10"/>
      <c r="GC511" s="10"/>
      <c r="GD511" s="10"/>
      <c r="GE511" s="10"/>
      <c r="GF511" s="10"/>
      <c r="GG511" s="10"/>
      <c r="GH511" s="10"/>
      <c r="GI511" s="10"/>
      <c r="GJ511" s="10"/>
      <c r="GK511" s="10"/>
      <c r="GL511" s="10"/>
      <c r="GM511" s="10"/>
      <c r="GN511" s="10"/>
      <c r="GO511" s="10"/>
      <c r="GP511" s="10"/>
      <c r="GQ511" s="10"/>
      <c r="GR511" s="10"/>
      <c r="GS511" s="10"/>
      <c r="GT511" s="10"/>
      <c r="GU511" s="10"/>
      <c r="GV511" s="10"/>
      <c r="GW511" s="10"/>
      <c r="GX511" s="10"/>
      <c r="GY511" s="10"/>
      <c r="GZ511" s="10"/>
      <c r="HA511" s="10"/>
      <c r="HB511" s="10"/>
      <c r="HC511" s="10"/>
      <c r="HD511" s="10"/>
      <c r="HE511" s="10"/>
      <c r="HF511" s="10"/>
      <c r="HG511" s="10"/>
      <c r="HH511" s="10"/>
      <c r="HI511" s="10"/>
      <c r="HJ511" s="10"/>
      <c r="HK511" s="10"/>
      <c r="HL511" s="10"/>
      <c r="HM511" s="10"/>
      <c r="HN511" s="10"/>
      <c r="HO511" s="10"/>
      <c r="HP511" s="10"/>
      <c r="HQ511" s="10"/>
      <c r="HR511" s="10"/>
      <c r="HS511" s="10"/>
      <c r="HT511" s="10"/>
      <c r="HU511" s="10"/>
      <c r="HV511" s="10"/>
      <c r="HW511" s="10"/>
      <c r="HX511" s="10"/>
      <c r="HY511" s="10"/>
      <c r="HZ511" s="10"/>
      <c r="IA511" s="10"/>
      <c r="IB511" s="10"/>
      <c r="IC511" s="10"/>
      <c r="ID511" s="10"/>
      <c r="IE511" s="10"/>
      <c r="IF511" s="10"/>
      <c r="IG511" s="10"/>
      <c r="IH511" s="10"/>
      <c r="II511" s="10"/>
      <c r="IJ511" s="10"/>
      <c r="IK511" s="10"/>
      <c r="IL511" s="10"/>
      <c r="IM511" s="10"/>
      <c r="IN511" s="10"/>
      <c r="IO511" s="10"/>
      <c r="IP511" s="10"/>
      <c r="IQ511" s="10"/>
      <c r="IR511" s="10"/>
      <c r="IS511" s="10"/>
      <c r="IT511" s="10"/>
      <c r="IU511" s="10"/>
      <c r="IV511" s="10"/>
      <c r="IW511" s="10"/>
    </row>
    <row r="512" spans="1:257">
      <c r="A512" s="34"/>
      <c r="B512" s="50"/>
      <c r="C512" s="24"/>
      <c r="D512" s="24"/>
      <c r="E512" s="24"/>
      <c r="F512" s="25"/>
      <c r="G512" s="25"/>
      <c r="H512" s="25"/>
      <c r="I512" s="25"/>
      <c r="J512" s="24"/>
      <c r="K512" s="25"/>
      <c r="L512" s="25"/>
      <c r="M512" s="25"/>
      <c r="N512" s="25"/>
      <c r="O512" s="25"/>
      <c r="P512" s="25"/>
      <c r="Q512" s="25"/>
      <c r="R512" s="24"/>
      <c r="S512" s="26">
        <f t="shared" si="31"/>
        <v>0</v>
      </c>
      <c r="T512" s="26">
        <f>COUNTIF($V$4:V512,V512)</f>
        <v>469</v>
      </c>
      <c r="U512" s="26" t="str">
        <f>IF(T512=1,COUNTIF($T$4:T512,1),"")</f>
        <v/>
      </c>
      <c r="V512" s="27" t="str">
        <f t="shared" si="33"/>
        <v/>
      </c>
      <c r="W512" s="27">
        <f t="shared" si="32"/>
        <v>0</v>
      </c>
      <c r="X512" s="28"/>
      <c r="Y512" s="27"/>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c r="EW512" s="10"/>
      <c r="EX512" s="10"/>
      <c r="EY512" s="10"/>
      <c r="EZ512" s="10"/>
      <c r="FA512" s="10"/>
      <c r="FB512" s="10"/>
      <c r="FC512" s="10"/>
      <c r="FD512" s="10"/>
      <c r="FE512" s="10"/>
      <c r="FF512" s="10"/>
      <c r="FG512" s="10"/>
      <c r="FH512" s="10"/>
      <c r="FI512" s="10"/>
      <c r="FJ512" s="10"/>
      <c r="FK512" s="10"/>
      <c r="FL512" s="10"/>
      <c r="FM512" s="10"/>
      <c r="FN512" s="10"/>
      <c r="FO512" s="10"/>
      <c r="FP512" s="10"/>
      <c r="FQ512" s="10"/>
      <c r="FR512" s="10"/>
      <c r="FS512" s="10"/>
      <c r="FT512" s="10"/>
      <c r="FU512" s="10"/>
      <c r="FV512" s="10"/>
      <c r="FW512" s="10"/>
      <c r="FX512" s="10"/>
      <c r="FY512" s="10"/>
      <c r="FZ512" s="10"/>
      <c r="GA512" s="10"/>
      <c r="GB512" s="10"/>
      <c r="GC512" s="10"/>
      <c r="GD512" s="10"/>
      <c r="GE512" s="10"/>
      <c r="GF512" s="10"/>
      <c r="GG512" s="10"/>
      <c r="GH512" s="10"/>
      <c r="GI512" s="10"/>
      <c r="GJ512" s="10"/>
      <c r="GK512" s="10"/>
      <c r="GL512" s="10"/>
      <c r="GM512" s="10"/>
      <c r="GN512" s="10"/>
      <c r="GO512" s="10"/>
      <c r="GP512" s="10"/>
      <c r="GQ512" s="10"/>
      <c r="GR512" s="10"/>
      <c r="GS512" s="10"/>
      <c r="GT512" s="10"/>
      <c r="GU512" s="10"/>
      <c r="GV512" s="10"/>
      <c r="GW512" s="10"/>
      <c r="GX512" s="10"/>
      <c r="GY512" s="10"/>
      <c r="GZ512" s="10"/>
      <c r="HA512" s="10"/>
      <c r="HB512" s="10"/>
      <c r="HC512" s="10"/>
      <c r="HD512" s="10"/>
      <c r="HE512" s="10"/>
      <c r="HF512" s="10"/>
      <c r="HG512" s="10"/>
      <c r="HH512" s="10"/>
      <c r="HI512" s="10"/>
      <c r="HJ512" s="10"/>
      <c r="HK512" s="10"/>
      <c r="HL512" s="10"/>
      <c r="HM512" s="10"/>
      <c r="HN512" s="10"/>
      <c r="HO512" s="10"/>
      <c r="HP512" s="10"/>
      <c r="HQ512" s="10"/>
      <c r="HR512" s="10"/>
      <c r="HS512" s="10"/>
      <c r="HT512" s="10"/>
      <c r="HU512" s="10"/>
      <c r="HV512" s="10"/>
      <c r="HW512" s="10"/>
      <c r="HX512" s="10"/>
      <c r="HY512" s="10"/>
      <c r="HZ512" s="10"/>
      <c r="IA512" s="10"/>
      <c r="IB512" s="10"/>
      <c r="IC512" s="10"/>
      <c r="ID512" s="10"/>
      <c r="IE512" s="10"/>
      <c r="IF512" s="10"/>
      <c r="IG512" s="10"/>
      <c r="IH512" s="10"/>
      <c r="II512" s="10"/>
      <c r="IJ512" s="10"/>
      <c r="IK512" s="10"/>
      <c r="IL512" s="10"/>
      <c r="IM512" s="10"/>
      <c r="IN512" s="10"/>
      <c r="IO512" s="10"/>
      <c r="IP512" s="10"/>
      <c r="IQ512" s="10"/>
      <c r="IR512" s="10"/>
      <c r="IS512" s="10"/>
      <c r="IT512" s="10"/>
      <c r="IU512" s="10"/>
      <c r="IV512" s="10"/>
      <c r="IW512" s="10"/>
    </row>
    <row r="513" spans="1:257">
      <c r="A513" s="34"/>
      <c r="B513" s="50"/>
      <c r="C513" s="24"/>
      <c r="D513" s="24"/>
      <c r="E513" s="24"/>
      <c r="F513" s="25"/>
      <c r="G513" s="25"/>
      <c r="H513" s="25"/>
      <c r="I513" s="25"/>
      <c r="J513" s="24"/>
      <c r="K513" s="25"/>
      <c r="L513" s="25"/>
      <c r="M513" s="25"/>
      <c r="N513" s="25"/>
      <c r="O513" s="25"/>
      <c r="P513" s="25"/>
      <c r="Q513" s="25"/>
      <c r="R513" s="24"/>
      <c r="S513" s="26">
        <f t="shared" si="31"/>
        <v>0</v>
      </c>
      <c r="T513" s="26">
        <f>COUNTIF($V$4:V513,V513)</f>
        <v>470</v>
      </c>
      <c r="U513" s="26" t="str">
        <f>IF(T513=1,COUNTIF($T$4:T513,1),"")</f>
        <v/>
      </c>
      <c r="V513" s="27" t="str">
        <f t="shared" si="33"/>
        <v/>
      </c>
      <c r="W513" s="27">
        <f t="shared" si="32"/>
        <v>0</v>
      </c>
      <c r="X513" s="28"/>
      <c r="Y513" s="27"/>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c r="EW513" s="10"/>
      <c r="EX513" s="10"/>
      <c r="EY513" s="10"/>
      <c r="EZ513" s="10"/>
      <c r="FA513" s="10"/>
      <c r="FB513" s="10"/>
      <c r="FC513" s="10"/>
      <c r="FD513" s="10"/>
      <c r="FE513" s="10"/>
      <c r="FF513" s="10"/>
      <c r="FG513" s="10"/>
      <c r="FH513" s="10"/>
      <c r="FI513" s="10"/>
      <c r="FJ513" s="10"/>
      <c r="FK513" s="10"/>
      <c r="FL513" s="10"/>
      <c r="FM513" s="10"/>
      <c r="FN513" s="10"/>
      <c r="FO513" s="10"/>
      <c r="FP513" s="10"/>
      <c r="FQ513" s="10"/>
      <c r="FR513" s="10"/>
      <c r="FS513" s="10"/>
      <c r="FT513" s="10"/>
      <c r="FU513" s="10"/>
      <c r="FV513" s="10"/>
      <c r="FW513" s="10"/>
      <c r="FX513" s="10"/>
      <c r="FY513" s="10"/>
      <c r="FZ513" s="10"/>
      <c r="GA513" s="10"/>
      <c r="GB513" s="10"/>
      <c r="GC513" s="10"/>
      <c r="GD513" s="10"/>
      <c r="GE513" s="10"/>
      <c r="GF513" s="10"/>
      <c r="GG513" s="10"/>
      <c r="GH513" s="10"/>
      <c r="GI513" s="10"/>
      <c r="GJ513" s="10"/>
      <c r="GK513" s="10"/>
      <c r="GL513" s="10"/>
      <c r="GM513" s="10"/>
      <c r="GN513" s="10"/>
      <c r="GO513" s="10"/>
      <c r="GP513" s="10"/>
      <c r="GQ513" s="10"/>
      <c r="GR513" s="10"/>
      <c r="GS513" s="10"/>
      <c r="GT513" s="10"/>
      <c r="GU513" s="10"/>
      <c r="GV513" s="10"/>
      <c r="GW513" s="10"/>
      <c r="GX513" s="10"/>
      <c r="GY513" s="10"/>
      <c r="GZ513" s="10"/>
      <c r="HA513" s="10"/>
      <c r="HB513" s="10"/>
      <c r="HC513" s="10"/>
      <c r="HD513" s="10"/>
      <c r="HE513" s="10"/>
      <c r="HF513" s="10"/>
      <c r="HG513" s="10"/>
      <c r="HH513" s="10"/>
      <c r="HI513" s="10"/>
      <c r="HJ513" s="10"/>
      <c r="HK513" s="10"/>
      <c r="HL513" s="10"/>
      <c r="HM513" s="10"/>
      <c r="HN513" s="10"/>
      <c r="HO513" s="10"/>
      <c r="HP513" s="10"/>
      <c r="HQ513" s="10"/>
      <c r="HR513" s="10"/>
      <c r="HS513" s="10"/>
      <c r="HT513" s="10"/>
      <c r="HU513" s="10"/>
      <c r="HV513" s="10"/>
      <c r="HW513" s="10"/>
      <c r="HX513" s="10"/>
      <c r="HY513" s="10"/>
      <c r="HZ513" s="10"/>
      <c r="IA513" s="10"/>
      <c r="IB513" s="10"/>
      <c r="IC513" s="10"/>
      <c r="ID513" s="10"/>
      <c r="IE513" s="10"/>
      <c r="IF513" s="10"/>
      <c r="IG513" s="10"/>
      <c r="IH513" s="10"/>
      <c r="II513" s="10"/>
      <c r="IJ513" s="10"/>
      <c r="IK513" s="10"/>
      <c r="IL513" s="10"/>
      <c r="IM513" s="10"/>
      <c r="IN513" s="10"/>
      <c r="IO513" s="10"/>
      <c r="IP513" s="10"/>
      <c r="IQ513" s="10"/>
      <c r="IR513" s="10"/>
      <c r="IS513" s="10"/>
      <c r="IT513" s="10"/>
      <c r="IU513" s="10"/>
      <c r="IV513" s="10"/>
      <c r="IW513" s="10"/>
    </row>
    <row r="514" spans="1:257">
      <c r="A514" s="34"/>
      <c r="B514" s="50"/>
      <c r="C514" s="24"/>
      <c r="D514" s="24"/>
      <c r="E514" s="24"/>
      <c r="F514" s="25"/>
      <c r="G514" s="25"/>
      <c r="H514" s="25"/>
      <c r="I514" s="25"/>
      <c r="J514" s="24"/>
      <c r="K514" s="25"/>
      <c r="L514" s="25"/>
      <c r="M514" s="25"/>
      <c r="N514" s="25"/>
      <c r="O514" s="25"/>
      <c r="P514" s="25"/>
      <c r="Q514" s="25"/>
      <c r="R514" s="24"/>
      <c r="S514" s="26">
        <f t="shared" si="31"/>
        <v>0</v>
      </c>
      <c r="T514" s="26">
        <f>COUNTIF($V$4:V514,V514)</f>
        <v>471</v>
      </c>
      <c r="U514" s="26" t="str">
        <f>IF(T514=1,COUNTIF($T$4:T514,1),"")</f>
        <v/>
      </c>
      <c r="V514" s="27" t="str">
        <f t="shared" si="33"/>
        <v/>
      </c>
      <c r="W514" s="27">
        <f t="shared" si="32"/>
        <v>0</v>
      </c>
      <c r="X514" s="28"/>
      <c r="Y514" s="27"/>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c r="EW514" s="10"/>
      <c r="EX514" s="10"/>
      <c r="EY514" s="10"/>
      <c r="EZ514" s="10"/>
      <c r="FA514" s="10"/>
      <c r="FB514" s="10"/>
      <c r="FC514" s="10"/>
      <c r="FD514" s="10"/>
      <c r="FE514" s="10"/>
      <c r="FF514" s="10"/>
      <c r="FG514" s="10"/>
      <c r="FH514" s="10"/>
      <c r="FI514" s="10"/>
      <c r="FJ514" s="10"/>
      <c r="FK514" s="10"/>
      <c r="FL514" s="10"/>
      <c r="FM514" s="10"/>
      <c r="FN514" s="10"/>
      <c r="FO514" s="10"/>
      <c r="FP514" s="10"/>
      <c r="FQ514" s="10"/>
      <c r="FR514" s="10"/>
      <c r="FS514" s="10"/>
      <c r="FT514" s="10"/>
      <c r="FU514" s="10"/>
      <c r="FV514" s="10"/>
      <c r="FW514" s="10"/>
      <c r="FX514" s="10"/>
      <c r="FY514" s="10"/>
      <c r="FZ514" s="10"/>
      <c r="GA514" s="10"/>
      <c r="GB514" s="10"/>
      <c r="GC514" s="10"/>
      <c r="GD514" s="10"/>
      <c r="GE514" s="10"/>
      <c r="GF514" s="10"/>
      <c r="GG514" s="10"/>
      <c r="GH514" s="10"/>
      <c r="GI514" s="10"/>
      <c r="GJ514" s="10"/>
      <c r="GK514" s="10"/>
      <c r="GL514" s="10"/>
      <c r="GM514" s="10"/>
      <c r="GN514" s="10"/>
      <c r="GO514" s="10"/>
      <c r="GP514" s="10"/>
      <c r="GQ514" s="10"/>
      <c r="GR514" s="10"/>
      <c r="GS514" s="10"/>
      <c r="GT514" s="10"/>
      <c r="GU514" s="10"/>
      <c r="GV514" s="10"/>
      <c r="GW514" s="10"/>
      <c r="GX514" s="10"/>
      <c r="GY514" s="10"/>
      <c r="GZ514" s="10"/>
      <c r="HA514" s="10"/>
      <c r="HB514" s="10"/>
      <c r="HC514" s="10"/>
      <c r="HD514" s="10"/>
      <c r="HE514" s="10"/>
      <c r="HF514" s="10"/>
      <c r="HG514" s="10"/>
      <c r="HH514" s="10"/>
      <c r="HI514" s="10"/>
      <c r="HJ514" s="10"/>
      <c r="HK514" s="10"/>
      <c r="HL514" s="10"/>
      <c r="HM514" s="10"/>
      <c r="HN514" s="10"/>
      <c r="HO514" s="10"/>
      <c r="HP514" s="10"/>
      <c r="HQ514" s="10"/>
      <c r="HR514" s="10"/>
      <c r="HS514" s="10"/>
      <c r="HT514" s="10"/>
      <c r="HU514" s="10"/>
      <c r="HV514" s="10"/>
      <c r="HW514" s="10"/>
      <c r="HX514" s="10"/>
      <c r="HY514" s="10"/>
      <c r="HZ514" s="10"/>
      <c r="IA514" s="10"/>
      <c r="IB514" s="10"/>
      <c r="IC514" s="10"/>
      <c r="ID514" s="10"/>
      <c r="IE514" s="10"/>
      <c r="IF514" s="10"/>
      <c r="IG514" s="10"/>
      <c r="IH514" s="10"/>
      <c r="II514" s="10"/>
      <c r="IJ514" s="10"/>
      <c r="IK514" s="10"/>
      <c r="IL514" s="10"/>
      <c r="IM514" s="10"/>
      <c r="IN514" s="10"/>
      <c r="IO514" s="10"/>
      <c r="IP514" s="10"/>
      <c r="IQ514" s="10"/>
      <c r="IR514" s="10"/>
      <c r="IS514" s="10"/>
      <c r="IT514" s="10"/>
      <c r="IU514" s="10"/>
      <c r="IV514" s="10"/>
      <c r="IW514" s="10"/>
    </row>
    <row r="515" spans="1:257">
      <c r="A515" s="34"/>
      <c r="B515" s="50"/>
      <c r="C515" s="24"/>
      <c r="D515" s="24"/>
      <c r="E515" s="24"/>
      <c r="F515" s="25"/>
      <c r="G515" s="25"/>
      <c r="H515" s="25"/>
      <c r="I515" s="25"/>
      <c r="J515" s="24"/>
      <c r="K515" s="25"/>
      <c r="L515" s="25"/>
      <c r="M515" s="25"/>
      <c r="N515" s="25"/>
      <c r="O515" s="25"/>
      <c r="P515" s="25"/>
      <c r="Q515" s="25"/>
      <c r="R515" s="24"/>
      <c r="S515" s="26">
        <f t="shared" si="31"/>
        <v>0</v>
      </c>
      <c r="T515" s="26">
        <f>COUNTIF($V$4:V515,V515)</f>
        <v>472</v>
      </c>
      <c r="U515" s="26" t="str">
        <f>IF(T515=1,COUNTIF($T$4:T515,1),"")</f>
        <v/>
      </c>
      <c r="V515" s="27" t="str">
        <f t="shared" si="33"/>
        <v/>
      </c>
      <c r="W515" s="27">
        <f t="shared" si="32"/>
        <v>0</v>
      </c>
      <c r="X515" s="28"/>
      <c r="Y515" s="27"/>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0"/>
      <c r="DJ515" s="10"/>
      <c r="DK515" s="10"/>
      <c r="DL515" s="10"/>
      <c r="DM515" s="10"/>
      <c r="DN515" s="10"/>
      <c r="DO515" s="10"/>
      <c r="DP515" s="10"/>
      <c r="DQ515" s="10"/>
      <c r="DR515" s="10"/>
      <c r="DS515" s="10"/>
      <c r="DT515" s="10"/>
      <c r="DU515" s="10"/>
      <c r="DV515" s="10"/>
      <c r="DW515" s="10"/>
      <c r="DX515" s="10"/>
      <c r="DY515" s="10"/>
      <c r="DZ515" s="10"/>
      <c r="EA515" s="10"/>
      <c r="EB515" s="10"/>
      <c r="EC515" s="10"/>
      <c r="ED515" s="10"/>
      <c r="EE515" s="10"/>
      <c r="EF515" s="10"/>
      <c r="EG515" s="10"/>
      <c r="EH515" s="10"/>
      <c r="EI515" s="10"/>
      <c r="EJ515" s="10"/>
      <c r="EK515" s="10"/>
      <c r="EL515" s="10"/>
      <c r="EM515" s="10"/>
      <c r="EN515" s="10"/>
      <c r="EO515" s="10"/>
      <c r="EP515" s="10"/>
      <c r="EQ515" s="10"/>
      <c r="ER515" s="10"/>
      <c r="ES515" s="10"/>
      <c r="ET515" s="10"/>
      <c r="EU515" s="10"/>
      <c r="EV515" s="10"/>
      <c r="EW515" s="10"/>
      <c r="EX515" s="10"/>
      <c r="EY515" s="10"/>
      <c r="EZ515" s="10"/>
      <c r="FA515" s="10"/>
      <c r="FB515" s="10"/>
      <c r="FC515" s="10"/>
      <c r="FD515" s="10"/>
      <c r="FE515" s="10"/>
      <c r="FF515" s="10"/>
      <c r="FG515" s="10"/>
      <c r="FH515" s="10"/>
      <c r="FI515" s="10"/>
      <c r="FJ515" s="10"/>
      <c r="FK515" s="10"/>
      <c r="FL515" s="10"/>
      <c r="FM515" s="10"/>
      <c r="FN515" s="10"/>
      <c r="FO515" s="10"/>
      <c r="FP515" s="10"/>
      <c r="FQ515" s="10"/>
      <c r="FR515" s="10"/>
      <c r="FS515" s="10"/>
      <c r="FT515" s="10"/>
      <c r="FU515" s="10"/>
      <c r="FV515" s="10"/>
      <c r="FW515" s="10"/>
      <c r="FX515" s="10"/>
      <c r="FY515" s="10"/>
      <c r="FZ515" s="10"/>
      <c r="GA515" s="10"/>
      <c r="GB515" s="10"/>
      <c r="GC515" s="10"/>
      <c r="GD515" s="10"/>
      <c r="GE515" s="10"/>
      <c r="GF515" s="10"/>
      <c r="GG515" s="10"/>
      <c r="GH515" s="10"/>
      <c r="GI515" s="10"/>
      <c r="GJ515" s="10"/>
      <c r="GK515" s="10"/>
      <c r="GL515" s="10"/>
      <c r="GM515" s="10"/>
      <c r="GN515" s="10"/>
      <c r="GO515" s="10"/>
      <c r="GP515" s="10"/>
      <c r="GQ515" s="10"/>
      <c r="GR515" s="10"/>
      <c r="GS515" s="10"/>
      <c r="GT515" s="10"/>
      <c r="GU515" s="10"/>
      <c r="GV515" s="10"/>
      <c r="GW515" s="10"/>
      <c r="GX515" s="10"/>
      <c r="GY515" s="10"/>
      <c r="GZ515" s="10"/>
      <c r="HA515" s="10"/>
      <c r="HB515" s="10"/>
      <c r="HC515" s="10"/>
      <c r="HD515" s="10"/>
      <c r="HE515" s="10"/>
      <c r="HF515" s="10"/>
      <c r="HG515" s="10"/>
      <c r="HH515" s="10"/>
      <c r="HI515" s="10"/>
      <c r="HJ515" s="10"/>
      <c r="HK515" s="10"/>
      <c r="HL515" s="10"/>
      <c r="HM515" s="10"/>
      <c r="HN515" s="10"/>
      <c r="HO515" s="10"/>
      <c r="HP515" s="10"/>
      <c r="HQ515" s="10"/>
      <c r="HR515" s="10"/>
      <c r="HS515" s="10"/>
      <c r="HT515" s="10"/>
      <c r="HU515" s="10"/>
      <c r="HV515" s="10"/>
      <c r="HW515" s="10"/>
      <c r="HX515" s="10"/>
      <c r="HY515" s="10"/>
      <c r="HZ515" s="10"/>
      <c r="IA515" s="10"/>
      <c r="IB515" s="10"/>
      <c r="IC515" s="10"/>
      <c r="ID515" s="10"/>
      <c r="IE515" s="10"/>
      <c r="IF515" s="10"/>
      <c r="IG515" s="10"/>
      <c r="IH515" s="10"/>
      <c r="II515" s="10"/>
      <c r="IJ515" s="10"/>
      <c r="IK515" s="10"/>
      <c r="IL515" s="10"/>
      <c r="IM515" s="10"/>
      <c r="IN515" s="10"/>
      <c r="IO515" s="10"/>
      <c r="IP515" s="10"/>
      <c r="IQ515" s="10"/>
      <c r="IR515" s="10"/>
      <c r="IS515" s="10"/>
      <c r="IT515" s="10"/>
      <c r="IU515" s="10"/>
      <c r="IV515" s="10"/>
      <c r="IW515" s="10"/>
    </row>
    <row r="516" spans="1:257">
      <c r="A516" s="34"/>
      <c r="B516" s="50"/>
      <c r="C516" s="24"/>
      <c r="D516" s="24"/>
      <c r="E516" s="24"/>
      <c r="F516" s="25"/>
      <c r="G516" s="25"/>
      <c r="H516" s="25"/>
      <c r="I516" s="25"/>
      <c r="J516" s="48"/>
      <c r="K516" s="25"/>
      <c r="L516" s="25"/>
      <c r="M516" s="48"/>
      <c r="N516" s="48"/>
      <c r="O516" s="48"/>
      <c r="P516" s="48"/>
      <c r="Q516" s="48"/>
      <c r="R516" s="49"/>
      <c r="S516" s="26">
        <f t="shared" ref="S516:S579" si="34">A516</f>
        <v>0</v>
      </c>
      <c r="T516" s="26">
        <f>COUNTIF($V$4:V516,V516)</f>
        <v>473</v>
      </c>
      <c r="U516" s="26" t="str">
        <f>IF(T516=1,COUNTIF($T$4:T516,1),"")</f>
        <v/>
      </c>
      <c r="V516" s="27" t="str">
        <f t="shared" si="33"/>
        <v/>
      </c>
      <c r="W516" s="27">
        <f t="shared" ref="W516:W579" si="35">$F516</f>
        <v>0</v>
      </c>
      <c r="X516" s="28"/>
      <c r="Y516" s="27"/>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0"/>
      <c r="DJ516" s="10"/>
      <c r="DK516" s="10"/>
      <c r="DL516" s="10"/>
      <c r="DM516" s="10"/>
      <c r="DN516" s="10"/>
      <c r="DO516" s="10"/>
      <c r="DP516" s="10"/>
      <c r="DQ516" s="10"/>
      <c r="DR516" s="10"/>
      <c r="DS516" s="10"/>
      <c r="DT516" s="10"/>
      <c r="DU516" s="10"/>
      <c r="DV516" s="10"/>
      <c r="DW516" s="10"/>
      <c r="DX516" s="10"/>
      <c r="DY516" s="10"/>
      <c r="DZ516" s="10"/>
      <c r="EA516" s="10"/>
      <c r="EB516" s="10"/>
      <c r="EC516" s="10"/>
      <c r="ED516" s="10"/>
      <c r="EE516" s="10"/>
      <c r="EF516" s="10"/>
      <c r="EG516" s="10"/>
      <c r="EH516" s="10"/>
      <c r="EI516" s="10"/>
      <c r="EJ516" s="10"/>
      <c r="EK516" s="10"/>
      <c r="EL516" s="10"/>
      <c r="EM516" s="10"/>
      <c r="EN516" s="10"/>
      <c r="EO516" s="10"/>
      <c r="EP516" s="10"/>
      <c r="EQ516" s="10"/>
      <c r="ER516" s="10"/>
      <c r="ES516" s="10"/>
      <c r="ET516" s="10"/>
      <c r="EU516" s="10"/>
      <c r="EV516" s="10"/>
      <c r="EW516" s="10"/>
      <c r="EX516" s="10"/>
      <c r="EY516" s="10"/>
      <c r="EZ516" s="10"/>
      <c r="FA516" s="10"/>
      <c r="FB516" s="10"/>
      <c r="FC516" s="10"/>
      <c r="FD516" s="10"/>
      <c r="FE516" s="10"/>
      <c r="FF516" s="10"/>
      <c r="FG516" s="10"/>
      <c r="FH516" s="10"/>
      <c r="FI516" s="10"/>
      <c r="FJ516" s="10"/>
      <c r="FK516" s="10"/>
      <c r="FL516" s="10"/>
      <c r="FM516" s="10"/>
      <c r="FN516" s="10"/>
      <c r="FO516" s="10"/>
      <c r="FP516" s="10"/>
      <c r="FQ516" s="10"/>
      <c r="FR516" s="10"/>
      <c r="FS516" s="10"/>
      <c r="FT516" s="10"/>
      <c r="FU516" s="10"/>
      <c r="FV516" s="10"/>
      <c r="FW516" s="10"/>
      <c r="FX516" s="10"/>
      <c r="FY516" s="10"/>
      <c r="FZ516" s="10"/>
      <c r="GA516" s="10"/>
      <c r="GB516" s="10"/>
      <c r="GC516" s="10"/>
      <c r="GD516" s="10"/>
      <c r="GE516" s="10"/>
      <c r="GF516" s="10"/>
      <c r="GG516" s="10"/>
      <c r="GH516" s="10"/>
      <c r="GI516" s="10"/>
      <c r="GJ516" s="10"/>
      <c r="GK516" s="10"/>
      <c r="GL516" s="10"/>
      <c r="GM516" s="10"/>
      <c r="GN516" s="10"/>
      <c r="GO516" s="10"/>
      <c r="GP516" s="10"/>
      <c r="GQ516" s="10"/>
      <c r="GR516" s="10"/>
      <c r="GS516" s="10"/>
      <c r="GT516" s="10"/>
      <c r="GU516" s="10"/>
      <c r="GV516" s="10"/>
      <c r="GW516" s="10"/>
      <c r="GX516" s="10"/>
      <c r="GY516" s="10"/>
      <c r="GZ516" s="10"/>
      <c r="HA516" s="10"/>
      <c r="HB516" s="10"/>
      <c r="HC516" s="10"/>
      <c r="HD516" s="10"/>
      <c r="HE516" s="10"/>
      <c r="HF516" s="10"/>
      <c r="HG516" s="10"/>
      <c r="HH516" s="10"/>
      <c r="HI516" s="10"/>
      <c r="HJ516" s="10"/>
      <c r="HK516" s="10"/>
      <c r="HL516" s="10"/>
      <c r="HM516" s="10"/>
      <c r="HN516" s="10"/>
      <c r="HO516" s="10"/>
      <c r="HP516" s="10"/>
      <c r="HQ516" s="10"/>
      <c r="HR516" s="10"/>
      <c r="HS516" s="10"/>
      <c r="HT516" s="10"/>
      <c r="HU516" s="10"/>
      <c r="HV516" s="10"/>
      <c r="HW516" s="10"/>
      <c r="HX516" s="10"/>
      <c r="HY516" s="10"/>
      <c r="HZ516" s="10"/>
      <c r="IA516" s="10"/>
      <c r="IB516" s="10"/>
      <c r="IC516" s="10"/>
      <c r="ID516" s="10"/>
      <c r="IE516" s="10"/>
      <c r="IF516" s="10"/>
      <c r="IG516" s="10"/>
      <c r="IH516" s="10"/>
      <c r="II516" s="10"/>
      <c r="IJ516" s="10"/>
      <c r="IK516" s="10"/>
      <c r="IL516" s="10"/>
      <c r="IM516" s="10"/>
      <c r="IN516" s="10"/>
      <c r="IO516" s="10"/>
      <c r="IP516" s="10"/>
      <c r="IQ516" s="10"/>
      <c r="IR516" s="10"/>
      <c r="IS516" s="10"/>
      <c r="IT516" s="10"/>
      <c r="IU516" s="10"/>
      <c r="IV516" s="10"/>
      <c r="IW516" s="10"/>
    </row>
    <row r="517" spans="1:257">
      <c r="A517" s="34"/>
      <c r="B517" s="50"/>
      <c r="C517" s="24"/>
      <c r="D517" s="24"/>
      <c r="E517" s="24"/>
      <c r="F517" s="25"/>
      <c r="G517" s="25"/>
      <c r="H517" s="25"/>
      <c r="I517" s="25"/>
      <c r="J517" s="25"/>
      <c r="K517" s="25"/>
      <c r="L517" s="25"/>
      <c r="M517" s="25"/>
      <c r="N517" s="25"/>
      <c r="O517" s="25"/>
      <c r="P517" s="25"/>
      <c r="Q517" s="25"/>
      <c r="R517" s="24"/>
      <c r="S517" s="26">
        <f t="shared" si="34"/>
        <v>0</v>
      </c>
      <c r="T517" s="26">
        <f>COUNTIF($V$4:V517,V517)</f>
        <v>474</v>
      </c>
      <c r="U517" s="26" t="str">
        <f>IF(T517=1,COUNTIF($T$4:T517,1),"")</f>
        <v/>
      </c>
      <c r="V517" s="27" t="str">
        <f t="shared" ref="V517:V580" si="36">$E517&amp;$C517</f>
        <v/>
      </c>
      <c r="W517" s="27">
        <f t="shared" si="35"/>
        <v>0</v>
      </c>
      <c r="X517" s="28"/>
      <c r="Y517" s="27"/>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0"/>
      <c r="DJ517" s="10"/>
      <c r="DK517" s="10"/>
      <c r="DL517" s="10"/>
      <c r="DM517" s="10"/>
      <c r="DN517" s="10"/>
      <c r="DO517" s="10"/>
      <c r="DP517" s="10"/>
      <c r="DQ517" s="10"/>
      <c r="DR517" s="10"/>
      <c r="DS517" s="10"/>
      <c r="DT517" s="10"/>
      <c r="DU517" s="10"/>
      <c r="DV517" s="10"/>
      <c r="DW517" s="10"/>
      <c r="DX517" s="10"/>
      <c r="DY517" s="10"/>
      <c r="DZ517" s="10"/>
      <c r="EA517" s="10"/>
      <c r="EB517" s="10"/>
      <c r="EC517" s="10"/>
      <c r="ED517" s="10"/>
      <c r="EE517" s="10"/>
      <c r="EF517" s="10"/>
      <c r="EG517" s="10"/>
      <c r="EH517" s="10"/>
      <c r="EI517" s="10"/>
      <c r="EJ517" s="10"/>
      <c r="EK517" s="10"/>
      <c r="EL517" s="10"/>
      <c r="EM517" s="10"/>
      <c r="EN517" s="10"/>
      <c r="EO517" s="10"/>
      <c r="EP517" s="10"/>
      <c r="EQ517" s="10"/>
      <c r="ER517" s="10"/>
      <c r="ES517" s="10"/>
      <c r="ET517" s="10"/>
      <c r="EU517" s="10"/>
      <c r="EV517" s="10"/>
      <c r="EW517" s="10"/>
      <c r="EX517" s="10"/>
      <c r="EY517" s="10"/>
      <c r="EZ517" s="10"/>
      <c r="FA517" s="10"/>
      <c r="FB517" s="10"/>
      <c r="FC517" s="10"/>
      <c r="FD517" s="10"/>
      <c r="FE517" s="10"/>
      <c r="FF517" s="10"/>
      <c r="FG517" s="10"/>
      <c r="FH517" s="10"/>
      <c r="FI517" s="10"/>
      <c r="FJ517" s="10"/>
      <c r="FK517" s="10"/>
      <c r="FL517" s="10"/>
      <c r="FM517" s="10"/>
      <c r="FN517" s="10"/>
      <c r="FO517" s="10"/>
      <c r="FP517" s="10"/>
      <c r="FQ517" s="10"/>
      <c r="FR517" s="10"/>
      <c r="FS517" s="10"/>
      <c r="FT517" s="10"/>
      <c r="FU517" s="10"/>
      <c r="FV517" s="10"/>
      <c r="FW517" s="10"/>
      <c r="FX517" s="10"/>
      <c r="FY517" s="10"/>
      <c r="FZ517" s="10"/>
      <c r="GA517" s="10"/>
      <c r="GB517" s="10"/>
      <c r="GC517" s="10"/>
      <c r="GD517" s="10"/>
      <c r="GE517" s="10"/>
      <c r="GF517" s="10"/>
      <c r="GG517" s="10"/>
      <c r="GH517" s="10"/>
      <c r="GI517" s="10"/>
      <c r="GJ517" s="10"/>
      <c r="GK517" s="10"/>
      <c r="GL517" s="10"/>
      <c r="GM517" s="10"/>
      <c r="GN517" s="10"/>
      <c r="GO517" s="10"/>
      <c r="GP517" s="10"/>
      <c r="GQ517" s="10"/>
      <c r="GR517" s="10"/>
      <c r="GS517" s="10"/>
      <c r="GT517" s="10"/>
      <c r="GU517" s="10"/>
      <c r="GV517" s="10"/>
      <c r="GW517" s="10"/>
      <c r="GX517" s="10"/>
      <c r="GY517" s="10"/>
      <c r="GZ517" s="10"/>
      <c r="HA517" s="10"/>
      <c r="HB517" s="10"/>
      <c r="HC517" s="10"/>
      <c r="HD517" s="10"/>
      <c r="HE517" s="10"/>
      <c r="HF517" s="10"/>
      <c r="HG517" s="10"/>
      <c r="HH517" s="10"/>
      <c r="HI517" s="10"/>
      <c r="HJ517" s="10"/>
      <c r="HK517" s="10"/>
      <c r="HL517" s="10"/>
      <c r="HM517" s="10"/>
      <c r="HN517" s="10"/>
      <c r="HO517" s="10"/>
      <c r="HP517" s="10"/>
      <c r="HQ517" s="10"/>
      <c r="HR517" s="10"/>
      <c r="HS517" s="10"/>
      <c r="HT517" s="10"/>
      <c r="HU517" s="10"/>
      <c r="HV517" s="10"/>
      <c r="HW517" s="10"/>
      <c r="HX517" s="10"/>
      <c r="HY517" s="10"/>
      <c r="HZ517" s="10"/>
      <c r="IA517" s="10"/>
      <c r="IB517" s="10"/>
      <c r="IC517" s="10"/>
      <c r="ID517" s="10"/>
      <c r="IE517" s="10"/>
      <c r="IF517" s="10"/>
      <c r="IG517" s="10"/>
      <c r="IH517" s="10"/>
      <c r="II517" s="10"/>
      <c r="IJ517" s="10"/>
      <c r="IK517" s="10"/>
      <c r="IL517" s="10"/>
      <c r="IM517" s="10"/>
      <c r="IN517" s="10"/>
      <c r="IO517" s="10"/>
      <c r="IP517" s="10"/>
      <c r="IQ517" s="10"/>
      <c r="IR517" s="10"/>
      <c r="IS517" s="10"/>
      <c r="IT517" s="10"/>
      <c r="IU517" s="10"/>
      <c r="IV517" s="10"/>
      <c r="IW517" s="10"/>
    </row>
    <row r="518" spans="1:257">
      <c r="A518" s="34"/>
      <c r="B518" s="50"/>
      <c r="C518" s="24"/>
      <c r="D518" s="24"/>
      <c r="E518" s="24"/>
      <c r="F518" s="25"/>
      <c r="G518" s="25"/>
      <c r="H518" s="25"/>
      <c r="I518" s="25"/>
      <c r="J518" s="25"/>
      <c r="K518" s="25"/>
      <c r="L518" s="25"/>
      <c r="M518" s="25"/>
      <c r="N518" s="25"/>
      <c r="O518" s="25"/>
      <c r="P518" s="25"/>
      <c r="Q518" s="25"/>
      <c r="R518" s="24"/>
      <c r="S518" s="26">
        <f t="shared" si="34"/>
        <v>0</v>
      </c>
      <c r="T518" s="26">
        <f>COUNTIF($V$4:V518,V518)</f>
        <v>475</v>
      </c>
      <c r="U518" s="26" t="str">
        <f>IF(T518=1,COUNTIF($T$4:T518,1),"")</f>
        <v/>
      </c>
      <c r="V518" s="27" t="str">
        <f t="shared" si="36"/>
        <v/>
      </c>
      <c r="W518" s="27">
        <f t="shared" si="35"/>
        <v>0</v>
      </c>
      <c r="X518" s="28"/>
      <c r="Y518" s="27"/>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0"/>
      <c r="DJ518" s="10"/>
      <c r="DK518" s="10"/>
      <c r="DL518" s="10"/>
      <c r="DM518" s="10"/>
      <c r="DN518" s="10"/>
      <c r="DO518" s="10"/>
      <c r="DP518" s="10"/>
      <c r="DQ518" s="10"/>
      <c r="DR518" s="10"/>
      <c r="DS518" s="10"/>
      <c r="DT518" s="10"/>
      <c r="DU518" s="10"/>
      <c r="DV518" s="10"/>
      <c r="DW518" s="10"/>
      <c r="DX518" s="10"/>
      <c r="DY518" s="10"/>
      <c r="DZ518" s="10"/>
      <c r="EA518" s="10"/>
      <c r="EB518" s="10"/>
      <c r="EC518" s="10"/>
      <c r="ED518" s="10"/>
      <c r="EE518" s="10"/>
      <c r="EF518" s="10"/>
      <c r="EG518" s="10"/>
      <c r="EH518" s="10"/>
      <c r="EI518" s="10"/>
      <c r="EJ518" s="10"/>
      <c r="EK518" s="10"/>
      <c r="EL518" s="10"/>
      <c r="EM518" s="10"/>
      <c r="EN518" s="10"/>
      <c r="EO518" s="10"/>
      <c r="EP518" s="10"/>
      <c r="EQ518" s="10"/>
      <c r="ER518" s="10"/>
      <c r="ES518" s="10"/>
      <c r="ET518" s="10"/>
      <c r="EU518" s="10"/>
      <c r="EV518" s="10"/>
      <c r="EW518" s="10"/>
      <c r="EX518" s="10"/>
      <c r="EY518" s="10"/>
      <c r="EZ518" s="10"/>
      <c r="FA518" s="10"/>
      <c r="FB518" s="10"/>
      <c r="FC518" s="10"/>
      <c r="FD518" s="10"/>
      <c r="FE518" s="10"/>
      <c r="FF518" s="10"/>
      <c r="FG518" s="10"/>
      <c r="FH518" s="10"/>
      <c r="FI518" s="10"/>
      <c r="FJ518" s="10"/>
      <c r="FK518" s="10"/>
      <c r="FL518" s="10"/>
      <c r="FM518" s="10"/>
      <c r="FN518" s="10"/>
      <c r="FO518" s="10"/>
      <c r="FP518" s="10"/>
      <c r="FQ518" s="10"/>
      <c r="FR518" s="10"/>
      <c r="FS518" s="10"/>
      <c r="FT518" s="10"/>
      <c r="FU518" s="10"/>
      <c r="FV518" s="10"/>
      <c r="FW518" s="10"/>
      <c r="FX518" s="10"/>
      <c r="FY518" s="10"/>
      <c r="FZ518" s="10"/>
      <c r="GA518" s="10"/>
      <c r="GB518" s="10"/>
      <c r="GC518" s="10"/>
      <c r="GD518" s="10"/>
      <c r="GE518" s="10"/>
      <c r="GF518" s="10"/>
      <c r="GG518" s="10"/>
      <c r="GH518" s="10"/>
      <c r="GI518" s="10"/>
      <c r="GJ518" s="10"/>
      <c r="GK518" s="10"/>
      <c r="GL518" s="10"/>
      <c r="GM518" s="10"/>
      <c r="GN518" s="10"/>
      <c r="GO518" s="10"/>
      <c r="GP518" s="10"/>
      <c r="GQ518" s="10"/>
      <c r="GR518" s="10"/>
      <c r="GS518" s="10"/>
      <c r="GT518" s="10"/>
      <c r="GU518" s="10"/>
      <c r="GV518" s="10"/>
      <c r="GW518" s="10"/>
      <c r="GX518" s="10"/>
      <c r="GY518" s="10"/>
      <c r="GZ518" s="10"/>
      <c r="HA518" s="10"/>
      <c r="HB518" s="10"/>
      <c r="HC518" s="10"/>
      <c r="HD518" s="10"/>
      <c r="HE518" s="10"/>
      <c r="HF518" s="10"/>
      <c r="HG518" s="10"/>
      <c r="HH518" s="10"/>
      <c r="HI518" s="10"/>
      <c r="HJ518" s="10"/>
      <c r="HK518" s="10"/>
      <c r="HL518" s="10"/>
      <c r="HM518" s="10"/>
      <c r="HN518" s="10"/>
      <c r="HO518" s="10"/>
      <c r="HP518" s="10"/>
      <c r="HQ518" s="10"/>
      <c r="HR518" s="10"/>
      <c r="HS518" s="10"/>
      <c r="HT518" s="10"/>
      <c r="HU518" s="10"/>
      <c r="HV518" s="10"/>
      <c r="HW518" s="10"/>
      <c r="HX518" s="10"/>
      <c r="HY518" s="10"/>
      <c r="HZ518" s="10"/>
      <c r="IA518" s="10"/>
      <c r="IB518" s="10"/>
      <c r="IC518" s="10"/>
      <c r="ID518" s="10"/>
      <c r="IE518" s="10"/>
      <c r="IF518" s="10"/>
      <c r="IG518" s="10"/>
      <c r="IH518" s="10"/>
      <c r="II518" s="10"/>
      <c r="IJ518" s="10"/>
      <c r="IK518" s="10"/>
      <c r="IL518" s="10"/>
      <c r="IM518" s="10"/>
      <c r="IN518" s="10"/>
      <c r="IO518" s="10"/>
      <c r="IP518" s="10"/>
      <c r="IQ518" s="10"/>
      <c r="IR518" s="10"/>
      <c r="IS518" s="10"/>
      <c r="IT518" s="10"/>
      <c r="IU518" s="10"/>
      <c r="IV518" s="10"/>
      <c r="IW518" s="10"/>
    </row>
    <row r="519" spans="1:257">
      <c r="A519" s="34"/>
      <c r="B519" s="50"/>
      <c r="C519" s="24"/>
      <c r="D519" s="24"/>
      <c r="E519" s="24"/>
      <c r="F519" s="25"/>
      <c r="G519" s="25"/>
      <c r="H519" s="25"/>
      <c r="I519" s="25"/>
      <c r="J519" s="25"/>
      <c r="K519" s="25"/>
      <c r="L519" s="25"/>
      <c r="M519" s="25"/>
      <c r="N519" s="25"/>
      <c r="O519" s="25"/>
      <c r="P519" s="25"/>
      <c r="Q519" s="25"/>
      <c r="R519" s="24"/>
      <c r="S519" s="26">
        <f t="shared" si="34"/>
        <v>0</v>
      </c>
      <c r="T519" s="26">
        <f>COUNTIF($V$4:V519,V519)</f>
        <v>476</v>
      </c>
      <c r="U519" s="26" t="str">
        <f>IF(T519=1,COUNTIF($T$4:T519,1),"")</f>
        <v/>
      </c>
      <c r="V519" s="27" t="str">
        <f t="shared" si="36"/>
        <v/>
      </c>
      <c r="W519" s="27">
        <f t="shared" si="35"/>
        <v>0</v>
      </c>
      <c r="X519" s="28"/>
      <c r="Y519" s="27"/>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c r="DO519" s="10"/>
      <c r="DP519" s="10"/>
      <c r="DQ519" s="10"/>
      <c r="DR519" s="10"/>
      <c r="DS519" s="10"/>
      <c r="DT519" s="10"/>
      <c r="DU519" s="10"/>
      <c r="DV519" s="10"/>
      <c r="DW519" s="10"/>
      <c r="DX519" s="10"/>
      <c r="DY519" s="10"/>
      <c r="DZ519" s="10"/>
      <c r="EA519" s="10"/>
      <c r="EB519" s="10"/>
      <c r="EC519" s="10"/>
      <c r="ED519" s="10"/>
      <c r="EE519" s="10"/>
      <c r="EF519" s="10"/>
      <c r="EG519" s="10"/>
      <c r="EH519" s="10"/>
      <c r="EI519" s="10"/>
      <c r="EJ519" s="10"/>
      <c r="EK519" s="10"/>
      <c r="EL519" s="10"/>
      <c r="EM519" s="10"/>
      <c r="EN519" s="10"/>
      <c r="EO519" s="10"/>
      <c r="EP519" s="10"/>
      <c r="EQ519" s="10"/>
      <c r="ER519" s="10"/>
      <c r="ES519" s="10"/>
      <c r="ET519" s="10"/>
      <c r="EU519" s="10"/>
      <c r="EV519" s="10"/>
      <c r="EW519" s="10"/>
      <c r="EX519" s="10"/>
      <c r="EY519" s="10"/>
      <c r="EZ519" s="10"/>
      <c r="FA519" s="10"/>
      <c r="FB519" s="10"/>
      <c r="FC519" s="10"/>
      <c r="FD519" s="10"/>
      <c r="FE519" s="10"/>
      <c r="FF519" s="10"/>
      <c r="FG519" s="10"/>
      <c r="FH519" s="10"/>
      <c r="FI519" s="10"/>
      <c r="FJ519" s="10"/>
      <c r="FK519" s="10"/>
      <c r="FL519" s="10"/>
      <c r="FM519" s="10"/>
      <c r="FN519" s="10"/>
      <c r="FO519" s="10"/>
      <c r="FP519" s="10"/>
      <c r="FQ519" s="10"/>
      <c r="FR519" s="10"/>
      <c r="FS519" s="10"/>
      <c r="FT519" s="10"/>
      <c r="FU519" s="10"/>
      <c r="FV519" s="10"/>
      <c r="FW519" s="10"/>
      <c r="FX519" s="10"/>
      <c r="FY519" s="10"/>
      <c r="FZ519" s="10"/>
      <c r="GA519" s="10"/>
      <c r="GB519" s="10"/>
      <c r="GC519" s="10"/>
      <c r="GD519" s="10"/>
      <c r="GE519" s="10"/>
      <c r="GF519" s="10"/>
      <c r="GG519" s="10"/>
      <c r="GH519" s="10"/>
      <c r="GI519" s="10"/>
      <c r="GJ519" s="10"/>
      <c r="GK519" s="10"/>
      <c r="GL519" s="10"/>
      <c r="GM519" s="10"/>
      <c r="GN519" s="10"/>
      <c r="GO519" s="10"/>
      <c r="GP519" s="10"/>
      <c r="GQ519" s="10"/>
      <c r="GR519" s="10"/>
      <c r="GS519" s="10"/>
      <c r="GT519" s="10"/>
      <c r="GU519" s="10"/>
      <c r="GV519" s="10"/>
      <c r="GW519" s="10"/>
      <c r="GX519" s="10"/>
      <c r="GY519" s="10"/>
      <c r="GZ519" s="10"/>
      <c r="HA519" s="10"/>
      <c r="HB519" s="10"/>
      <c r="HC519" s="10"/>
      <c r="HD519" s="10"/>
      <c r="HE519" s="10"/>
      <c r="HF519" s="10"/>
      <c r="HG519" s="10"/>
      <c r="HH519" s="10"/>
      <c r="HI519" s="10"/>
      <c r="HJ519" s="10"/>
      <c r="HK519" s="10"/>
      <c r="HL519" s="10"/>
      <c r="HM519" s="10"/>
      <c r="HN519" s="10"/>
      <c r="HO519" s="10"/>
      <c r="HP519" s="10"/>
      <c r="HQ519" s="10"/>
      <c r="HR519" s="10"/>
      <c r="HS519" s="10"/>
      <c r="HT519" s="10"/>
      <c r="HU519" s="10"/>
      <c r="HV519" s="10"/>
      <c r="HW519" s="10"/>
      <c r="HX519" s="10"/>
      <c r="HY519" s="10"/>
      <c r="HZ519" s="10"/>
      <c r="IA519" s="10"/>
      <c r="IB519" s="10"/>
      <c r="IC519" s="10"/>
      <c r="ID519" s="10"/>
      <c r="IE519" s="10"/>
      <c r="IF519" s="10"/>
      <c r="IG519" s="10"/>
      <c r="IH519" s="10"/>
      <c r="II519" s="10"/>
      <c r="IJ519" s="10"/>
      <c r="IK519" s="10"/>
      <c r="IL519" s="10"/>
      <c r="IM519" s="10"/>
      <c r="IN519" s="10"/>
      <c r="IO519" s="10"/>
      <c r="IP519" s="10"/>
      <c r="IQ519" s="10"/>
      <c r="IR519" s="10"/>
      <c r="IS519" s="10"/>
      <c r="IT519" s="10"/>
      <c r="IU519" s="10"/>
      <c r="IV519" s="10"/>
      <c r="IW519" s="10"/>
    </row>
    <row r="520" spans="1:257">
      <c r="A520" s="34"/>
      <c r="B520" s="50"/>
      <c r="C520" s="24"/>
      <c r="D520" s="24"/>
      <c r="E520" s="24"/>
      <c r="F520" s="25"/>
      <c r="G520" s="25"/>
      <c r="H520" s="25"/>
      <c r="I520" s="25"/>
      <c r="J520" s="25"/>
      <c r="K520" s="25"/>
      <c r="L520" s="25"/>
      <c r="M520" s="25"/>
      <c r="N520" s="25"/>
      <c r="O520" s="25"/>
      <c r="P520" s="25"/>
      <c r="Q520" s="25"/>
      <c r="R520" s="24"/>
      <c r="S520" s="26">
        <f t="shared" si="34"/>
        <v>0</v>
      </c>
      <c r="T520" s="26">
        <f>COUNTIF($V$4:V520,V520)</f>
        <v>477</v>
      </c>
      <c r="U520" s="26" t="str">
        <f>IF(T520=1,COUNTIF($T$4:T520,1),"")</f>
        <v/>
      </c>
      <c r="V520" s="27" t="str">
        <f t="shared" si="36"/>
        <v/>
      </c>
      <c r="W520" s="27">
        <f t="shared" si="35"/>
        <v>0</v>
      </c>
      <c r="X520" s="28"/>
      <c r="Y520" s="27"/>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c r="DO520" s="10"/>
      <c r="DP520" s="10"/>
      <c r="DQ520" s="10"/>
      <c r="DR520" s="10"/>
      <c r="DS520" s="10"/>
      <c r="DT520" s="10"/>
      <c r="DU520" s="10"/>
      <c r="DV520" s="10"/>
      <c r="DW520" s="10"/>
      <c r="DX520" s="10"/>
      <c r="DY520" s="10"/>
      <c r="DZ520" s="10"/>
      <c r="EA520" s="10"/>
      <c r="EB520" s="10"/>
      <c r="EC520" s="10"/>
      <c r="ED520" s="10"/>
      <c r="EE520" s="10"/>
      <c r="EF520" s="10"/>
      <c r="EG520" s="10"/>
      <c r="EH520" s="10"/>
      <c r="EI520" s="10"/>
      <c r="EJ520" s="10"/>
      <c r="EK520" s="10"/>
      <c r="EL520" s="10"/>
      <c r="EM520" s="10"/>
      <c r="EN520" s="10"/>
      <c r="EO520" s="10"/>
      <c r="EP520" s="10"/>
      <c r="EQ520" s="10"/>
      <c r="ER520" s="10"/>
      <c r="ES520" s="10"/>
      <c r="ET520" s="10"/>
      <c r="EU520" s="10"/>
      <c r="EV520" s="10"/>
      <c r="EW520" s="10"/>
      <c r="EX520" s="10"/>
      <c r="EY520" s="10"/>
      <c r="EZ520" s="10"/>
      <c r="FA520" s="10"/>
      <c r="FB520" s="10"/>
      <c r="FC520" s="10"/>
      <c r="FD520" s="10"/>
      <c r="FE520" s="10"/>
      <c r="FF520" s="10"/>
      <c r="FG520" s="10"/>
      <c r="FH520" s="10"/>
      <c r="FI520" s="10"/>
      <c r="FJ520" s="10"/>
      <c r="FK520" s="10"/>
      <c r="FL520" s="10"/>
      <c r="FM520" s="10"/>
      <c r="FN520" s="10"/>
      <c r="FO520" s="10"/>
      <c r="FP520" s="10"/>
      <c r="FQ520" s="10"/>
      <c r="FR520" s="10"/>
      <c r="FS520" s="10"/>
      <c r="FT520" s="10"/>
      <c r="FU520" s="10"/>
      <c r="FV520" s="10"/>
      <c r="FW520" s="10"/>
      <c r="FX520" s="10"/>
      <c r="FY520" s="10"/>
      <c r="FZ520" s="10"/>
      <c r="GA520" s="10"/>
      <c r="GB520" s="10"/>
      <c r="GC520" s="10"/>
      <c r="GD520" s="10"/>
      <c r="GE520" s="10"/>
      <c r="GF520" s="10"/>
      <c r="GG520" s="10"/>
      <c r="GH520" s="10"/>
      <c r="GI520" s="10"/>
      <c r="GJ520" s="10"/>
      <c r="GK520" s="10"/>
      <c r="GL520" s="10"/>
      <c r="GM520" s="10"/>
      <c r="GN520" s="10"/>
      <c r="GO520" s="10"/>
      <c r="GP520" s="10"/>
      <c r="GQ520" s="10"/>
      <c r="GR520" s="10"/>
      <c r="GS520" s="10"/>
      <c r="GT520" s="10"/>
      <c r="GU520" s="10"/>
      <c r="GV520" s="10"/>
      <c r="GW520" s="10"/>
      <c r="GX520" s="10"/>
      <c r="GY520" s="10"/>
      <c r="GZ520" s="10"/>
      <c r="HA520" s="10"/>
      <c r="HB520" s="10"/>
      <c r="HC520" s="10"/>
      <c r="HD520" s="10"/>
      <c r="HE520" s="10"/>
      <c r="HF520" s="10"/>
      <c r="HG520" s="10"/>
      <c r="HH520" s="10"/>
      <c r="HI520" s="10"/>
      <c r="HJ520" s="10"/>
      <c r="HK520" s="10"/>
      <c r="HL520" s="10"/>
      <c r="HM520" s="10"/>
      <c r="HN520" s="10"/>
      <c r="HO520" s="10"/>
      <c r="HP520" s="10"/>
      <c r="HQ520" s="10"/>
      <c r="HR520" s="10"/>
      <c r="HS520" s="10"/>
      <c r="HT520" s="10"/>
      <c r="HU520" s="10"/>
      <c r="HV520" s="10"/>
      <c r="HW520" s="10"/>
      <c r="HX520" s="10"/>
      <c r="HY520" s="10"/>
      <c r="HZ520" s="10"/>
      <c r="IA520" s="10"/>
      <c r="IB520" s="10"/>
      <c r="IC520" s="10"/>
      <c r="ID520" s="10"/>
      <c r="IE520" s="10"/>
      <c r="IF520" s="10"/>
      <c r="IG520" s="10"/>
      <c r="IH520" s="10"/>
      <c r="II520" s="10"/>
      <c r="IJ520" s="10"/>
      <c r="IK520" s="10"/>
      <c r="IL520" s="10"/>
      <c r="IM520" s="10"/>
      <c r="IN520" s="10"/>
      <c r="IO520" s="10"/>
      <c r="IP520" s="10"/>
      <c r="IQ520" s="10"/>
      <c r="IR520" s="10"/>
      <c r="IS520" s="10"/>
      <c r="IT520" s="10"/>
      <c r="IU520" s="10"/>
      <c r="IV520" s="10"/>
      <c r="IW520" s="10"/>
    </row>
    <row r="521" spans="1:257">
      <c r="A521" s="34"/>
      <c r="B521" s="50"/>
      <c r="C521" s="24"/>
      <c r="D521" s="24"/>
      <c r="E521" s="24"/>
      <c r="F521" s="25"/>
      <c r="G521" s="25"/>
      <c r="H521" s="25"/>
      <c r="I521" s="25"/>
      <c r="J521" s="25"/>
      <c r="K521" s="25"/>
      <c r="L521" s="25"/>
      <c r="M521" s="25"/>
      <c r="N521" s="25"/>
      <c r="O521" s="25"/>
      <c r="P521" s="25"/>
      <c r="Q521" s="25"/>
      <c r="R521" s="24"/>
      <c r="S521" s="26">
        <f t="shared" si="34"/>
        <v>0</v>
      </c>
      <c r="T521" s="26">
        <f>COUNTIF($V$4:V521,V521)</f>
        <v>478</v>
      </c>
      <c r="U521" s="26" t="str">
        <f>IF(T521=1,COUNTIF($T$4:T521,1),"")</f>
        <v/>
      </c>
      <c r="V521" s="27" t="str">
        <f t="shared" si="36"/>
        <v/>
      </c>
      <c r="W521" s="27">
        <f t="shared" si="35"/>
        <v>0</v>
      </c>
      <c r="X521" s="28"/>
      <c r="Y521" s="27"/>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0"/>
      <c r="DJ521" s="10"/>
      <c r="DK521" s="10"/>
      <c r="DL521" s="10"/>
      <c r="DM521" s="10"/>
      <c r="DN521" s="10"/>
      <c r="DO521" s="10"/>
      <c r="DP521" s="10"/>
      <c r="DQ521" s="10"/>
      <c r="DR521" s="10"/>
      <c r="DS521" s="10"/>
      <c r="DT521" s="10"/>
      <c r="DU521" s="10"/>
      <c r="DV521" s="10"/>
      <c r="DW521" s="10"/>
      <c r="DX521" s="10"/>
      <c r="DY521" s="10"/>
      <c r="DZ521" s="10"/>
      <c r="EA521" s="10"/>
      <c r="EB521" s="10"/>
      <c r="EC521" s="10"/>
      <c r="ED521" s="10"/>
      <c r="EE521" s="10"/>
      <c r="EF521" s="10"/>
      <c r="EG521" s="10"/>
      <c r="EH521" s="10"/>
      <c r="EI521" s="10"/>
      <c r="EJ521" s="10"/>
      <c r="EK521" s="10"/>
      <c r="EL521" s="10"/>
      <c r="EM521" s="10"/>
      <c r="EN521" s="10"/>
      <c r="EO521" s="10"/>
      <c r="EP521" s="10"/>
      <c r="EQ521" s="10"/>
      <c r="ER521" s="10"/>
      <c r="ES521" s="10"/>
      <c r="ET521" s="10"/>
      <c r="EU521" s="10"/>
      <c r="EV521" s="10"/>
      <c r="EW521" s="10"/>
      <c r="EX521" s="10"/>
      <c r="EY521" s="10"/>
      <c r="EZ521" s="10"/>
      <c r="FA521" s="10"/>
      <c r="FB521" s="10"/>
      <c r="FC521" s="10"/>
      <c r="FD521" s="10"/>
      <c r="FE521" s="10"/>
      <c r="FF521" s="10"/>
      <c r="FG521" s="10"/>
      <c r="FH521" s="10"/>
      <c r="FI521" s="10"/>
      <c r="FJ521" s="10"/>
      <c r="FK521" s="10"/>
      <c r="FL521" s="10"/>
      <c r="FM521" s="10"/>
      <c r="FN521" s="10"/>
      <c r="FO521" s="10"/>
      <c r="FP521" s="10"/>
      <c r="FQ521" s="10"/>
      <c r="FR521" s="10"/>
      <c r="FS521" s="10"/>
      <c r="FT521" s="10"/>
      <c r="FU521" s="10"/>
      <c r="FV521" s="10"/>
      <c r="FW521" s="10"/>
      <c r="FX521" s="10"/>
      <c r="FY521" s="10"/>
      <c r="FZ521" s="10"/>
      <c r="GA521" s="10"/>
      <c r="GB521" s="10"/>
      <c r="GC521" s="10"/>
      <c r="GD521" s="10"/>
      <c r="GE521" s="10"/>
      <c r="GF521" s="10"/>
      <c r="GG521" s="10"/>
      <c r="GH521" s="10"/>
      <c r="GI521" s="10"/>
      <c r="GJ521" s="10"/>
      <c r="GK521" s="10"/>
      <c r="GL521" s="10"/>
      <c r="GM521" s="10"/>
      <c r="GN521" s="10"/>
      <c r="GO521" s="10"/>
      <c r="GP521" s="10"/>
      <c r="GQ521" s="10"/>
      <c r="GR521" s="10"/>
      <c r="GS521" s="10"/>
      <c r="GT521" s="10"/>
      <c r="GU521" s="10"/>
      <c r="GV521" s="10"/>
      <c r="GW521" s="10"/>
      <c r="GX521" s="10"/>
      <c r="GY521" s="10"/>
      <c r="GZ521" s="10"/>
      <c r="HA521" s="10"/>
      <c r="HB521" s="10"/>
      <c r="HC521" s="10"/>
      <c r="HD521" s="10"/>
      <c r="HE521" s="10"/>
      <c r="HF521" s="10"/>
      <c r="HG521" s="10"/>
      <c r="HH521" s="10"/>
      <c r="HI521" s="10"/>
      <c r="HJ521" s="10"/>
      <c r="HK521" s="10"/>
      <c r="HL521" s="10"/>
      <c r="HM521" s="10"/>
      <c r="HN521" s="10"/>
      <c r="HO521" s="10"/>
      <c r="HP521" s="10"/>
      <c r="HQ521" s="10"/>
      <c r="HR521" s="10"/>
      <c r="HS521" s="10"/>
      <c r="HT521" s="10"/>
      <c r="HU521" s="10"/>
      <c r="HV521" s="10"/>
      <c r="HW521" s="10"/>
      <c r="HX521" s="10"/>
      <c r="HY521" s="10"/>
      <c r="HZ521" s="10"/>
      <c r="IA521" s="10"/>
      <c r="IB521" s="10"/>
      <c r="IC521" s="10"/>
      <c r="ID521" s="10"/>
      <c r="IE521" s="10"/>
      <c r="IF521" s="10"/>
      <c r="IG521" s="10"/>
      <c r="IH521" s="10"/>
      <c r="II521" s="10"/>
      <c r="IJ521" s="10"/>
      <c r="IK521" s="10"/>
      <c r="IL521" s="10"/>
      <c r="IM521" s="10"/>
      <c r="IN521" s="10"/>
      <c r="IO521" s="10"/>
      <c r="IP521" s="10"/>
      <c r="IQ521" s="10"/>
      <c r="IR521" s="10"/>
      <c r="IS521" s="10"/>
      <c r="IT521" s="10"/>
      <c r="IU521" s="10"/>
      <c r="IV521" s="10"/>
      <c r="IW521" s="10"/>
    </row>
    <row r="522" spans="1:257">
      <c r="A522" s="34"/>
      <c r="B522" s="50"/>
      <c r="C522" s="24"/>
      <c r="D522" s="24"/>
      <c r="E522" s="24"/>
      <c r="F522" s="25"/>
      <c r="G522" s="25"/>
      <c r="H522" s="25"/>
      <c r="I522" s="25"/>
      <c r="J522" s="25"/>
      <c r="K522" s="25"/>
      <c r="L522" s="25"/>
      <c r="M522" s="25"/>
      <c r="N522" s="25"/>
      <c r="O522" s="25"/>
      <c r="P522" s="25"/>
      <c r="Q522" s="25"/>
      <c r="R522" s="24"/>
      <c r="S522" s="26">
        <f t="shared" si="34"/>
        <v>0</v>
      </c>
      <c r="T522" s="26">
        <f>COUNTIF($V$4:V522,V522)</f>
        <v>479</v>
      </c>
      <c r="U522" s="26" t="str">
        <f>IF(T522=1,COUNTIF($T$4:T522,1),"")</f>
        <v/>
      </c>
      <c r="V522" s="27" t="str">
        <f t="shared" si="36"/>
        <v/>
      </c>
      <c r="W522" s="27">
        <f t="shared" si="35"/>
        <v>0</v>
      </c>
      <c r="X522" s="28"/>
      <c r="Y522" s="27"/>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0"/>
      <c r="DJ522" s="10"/>
      <c r="DK522" s="10"/>
      <c r="DL522" s="10"/>
      <c r="DM522" s="10"/>
      <c r="DN522" s="10"/>
      <c r="DO522" s="10"/>
      <c r="DP522" s="10"/>
      <c r="DQ522" s="10"/>
      <c r="DR522" s="10"/>
      <c r="DS522" s="10"/>
      <c r="DT522" s="10"/>
      <c r="DU522" s="10"/>
      <c r="DV522" s="10"/>
      <c r="DW522" s="10"/>
      <c r="DX522" s="10"/>
      <c r="DY522" s="10"/>
      <c r="DZ522" s="10"/>
      <c r="EA522" s="10"/>
      <c r="EB522" s="10"/>
      <c r="EC522" s="10"/>
      <c r="ED522" s="10"/>
      <c r="EE522" s="10"/>
      <c r="EF522" s="10"/>
      <c r="EG522" s="10"/>
      <c r="EH522" s="10"/>
      <c r="EI522" s="10"/>
      <c r="EJ522" s="10"/>
      <c r="EK522" s="10"/>
      <c r="EL522" s="10"/>
      <c r="EM522" s="10"/>
      <c r="EN522" s="10"/>
      <c r="EO522" s="10"/>
      <c r="EP522" s="10"/>
      <c r="EQ522" s="10"/>
      <c r="ER522" s="10"/>
      <c r="ES522" s="10"/>
      <c r="ET522" s="10"/>
      <c r="EU522" s="10"/>
      <c r="EV522" s="10"/>
      <c r="EW522" s="10"/>
      <c r="EX522" s="10"/>
      <c r="EY522" s="10"/>
      <c r="EZ522" s="10"/>
      <c r="FA522" s="10"/>
      <c r="FB522" s="10"/>
      <c r="FC522" s="10"/>
      <c r="FD522" s="10"/>
      <c r="FE522" s="10"/>
      <c r="FF522" s="10"/>
      <c r="FG522" s="10"/>
      <c r="FH522" s="10"/>
      <c r="FI522" s="10"/>
      <c r="FJ522" s="10"/>
      <c r="FK522" s="10"/>
      <c r="FL522" s="10"/>
      <c r="FM522" s="10"/>
      <c r="FN522" s="10"/>
      <c r="FO522" s="10"/>
      <c r="FP522" s="10"/>
      <c r="FQ522" s="10"/>
      <c r="FR522" s="10"/>
      <c r="FS522" s="10"/>
      <c r="FT522" s="10"/>
      <c r="FU522" s="10"/>
      <c r="FV522" s="10"/>
      <c r="FW522" s="10"/>
      <c r="FX522" s="10"/>
      <c r="FY522" s="10"/>
      <c r="FZ522" s="10"/>
      <c r="GA522" s="10"/>
      <c r="GB522" s="10"/>
      <c r="GC522" s="10"/>
      <c r="GD522" s="10"/>
      <c r="GE522" s="10"/>
      <c r="GF522" s="10"/>
      <c r="GG522" s="10"/>
      <c r="GH522" s="10"/>
      <c r="GI522" s="10"/>
      <c r="GJ522" s="10"/>
      <c r="GK522" s="10"/>
      <c r="GL522" s="10"/>
      <c r="GM522" s="10"/>
      <c r="GN522" s="10"/>
      <c r="GO522" s="10"/>
      <c r="GP522" s="10"/>
      <c r="GQ522" s="10"/>
      <c r="GR522" s="10"/>
      <c r="GS522" s="10"/>
      <c r="GT522" s="10"/>
      <c r="GU522" s="10"/>
      <c r="GV522" s="10"/>
      <c r="GW522" s="10"/>
      <c r="GX522" s="10"/>
      <c r="GY522" s="10"/>
      <c r="GZ522" s="10"/>
      <c r="HA522" s="10"/>
      <c r="HB522" s="10"/>
      <c r="HC522" s="10"/>
      <c r="HD522" s="10"/>
      <c r="HE522" s="10"/>
      <c r="HF522" s="10"/>
      <c r="HG522" s="10"/>
      <c r="HH522" s="10"/>
      <c r="HI522" s="10"/>
      <c r="HJ522" s="10"/>
      <c r="HK522" s="10"/>
      <c r="HL522" s="10"/>
      <c r="HM522" s="10"/>
      <c r="HN522" s="10"/>
      <c r="HO522" s="10"/>
      <c r="HP522" s="10"/>
      <c r="HQ522" s="10"/>
      <c r="HR522" s="10"/>
      <c r="HS522" s="10"/>
      <c r="HT522" s="10"/>
      <c r="HU522" s="10"/>
      <c r="HV522" s="10"/>
      <c r="HW522" s="10"/>
      <c r="HX522" s="10"/>
      <c r="HY522" s="10"/>
      <c r="HZ522" s="10"/>
      <c r="IA522" s="10"/>
      <c r="IB522" s="10"/>
      <c r="IC522" s="10"/>
      <c r="ID522" s="10"/>
      <c r="IE522" s="10"/>
      <c r="IF522" s="10"/>
      <c r="IG522" s="10"/>
      <c r="IH522" s="10"/>
      <c r="II522" s="10"/>
      <c r="IJ522" s="10"/>
      <c r="IK522" s="10"/>
      <c r="IL522" s="10"/>
      <c r="IM522" s="10"/>
      <c r="IN522" s="10"/>
      <c r="IO522" s="10"/>
      <c r="IP522" s="10"/>
      <c r="IQ522" s="10"/>
      <c r="IR522" s="10"/>
      <c r="IS522" s="10"/>
      <c r="IT522" s="10"/>
      <c r="IU522" s="10"/>
      <c r="IV522" s="10"/>
      <c r="IW522" s="10"/>
    </row>
    <row r="523" spans="1:257">
      <c r="A523" s="34"/>
      <c r="B523" s="50"/>
      <c r="C523" s="24"/>
      <c r="D523" s="24"/>
      <c r="E523" s="24"/>
      <c r="F523" s="25"/>
      <c r="G523" s="25"/>
      <c r="H523" s="25"/>
      <c r="I523" s="25"/>
      <c r="J523" s="25"/>
      <c r="K523" s="25"/>
      <c r="L523" s="25"/>
      <c r="M523" s="25"/>
      <c r="N523" s="25"/>
      <c r="O523" s="25"/>
      <c r="P523" s="25"/>
      <c r="Q523" s="25"/>
      <c r="R523" s="24"/>
      <c r="S523" s="26">
        <f t="shared" si="34"/>
        <v>0</v>
      </c>
      <c r="T523" s="26">
        <f>COUNTIF($V$4:V523,V523)</f>
        <v>480</v>
      </c>
      <c r="U523" s="26" t="str">
        <f>IF(T523=1,COUNTIF($T$4:T523,1),"")</f>
        <v/>
      </c>
      <c r="V523" s="27" t="str">
        <f t="shared" si="36"/>
        <v/>
      </c>
      <c r="W523" s="27">
        <f t="shared" si="35"/>
        <v>0</v>
      </c>
      <c r="X523" s="28"/>
      <c r="Y523" s="27"/>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0"/>
      <c r="DJ523" s="10"/>
      <c r="DK523" s="10"/>
      <c r="DL523" s="10"/>
      <c r="DM523" s="10"/>
      <c r="DN523" s="10"/>
      <c r="DO523" s="10"/>
      <c r="DP523" s="10"/>
      <c r="DQ523" s="10"/>
      <c r="DR523" s="10"/>
      <c r="DS523" s="10"/>
      <c r="DT523" s="10"/>
      <c r="DU523" s="10"/>
      <c r="DV523" s="10"/>
      <c r="DW523" s="10"/>
      <c r="DX523" s="10"/>
      <c r="DY523" s="10"/>
      <c r="DZ523" s="10"/>
      <c r="EA523" s="10"/>
      <c r="EB523" s="10"/>
      <c r="EC523" s="10"/>
      <c r="ED523" s="10"/>
      <c r="EE523" s="10"/>
      <c r="EF523" s="10"/>
      <c r="EG523" s="10"/>
      <c r="EH523" s="10"/>
      <c r="EI523" s="10"/>
      <c r="EJ523" s="10"/>
      <c r="EK523" s="10"/>
      <c r="EL523" s="10"/>
      <c r="EM523" s="10"/>
      <c r="EN523" s="10"/>
      <c r="EO523" s="10"/>
      <c r="EP523" s="10"/>
      <c r="EQ523" s="10"/>
      <c r="ER523" s="10"/>
      <c r="ES523" s="10"/>
      <c r="ET523" s="10"/>
      <c r="EU523" s="10"/>
      <c r="EV523" s="10"/>
      <c r="EW523" s="10"/>
      <c r="EX523" s="10"/>
      <c r="EY523" s="10"/>
      <c r="EZ523" s="10"/>
      <c r="FA523" s="10"/>
      <c r="FB523" s="10"/>
      <c r="FC523" s="10"/>
      <c r="FD523" s="10"/>
      <c r="FE523" s="10"/>
      <c r="FF523" s="10"/>
      <c r="FG523" s="10"/>
      <c r="FH523" s="10"/>
      <c r="FI523" s="10"/>
      <c r="FJ523" s="10"/>
      <c r="FK523" s="10"/>
      <c r="FL523" s="10"/>
      <c r="FM523" s="10"/>
      <c r="FN523" s="10"/>
      <c r="FO523" s="10"/>
      <c r="FP523" s="10"/>
      <c r="FQ523" s="10"/>
      <c r="FR523" s="10"/>
      <c r="FS523" s="10"/>
      <c r="FT523" s="10"/>
      <c r="FU523" s="10"/>
      <c r="FV523" s="10"/>
      <c r="FW523" s="10"/>
      <c r="FX523" s="10"/>
      <c r="FY523" s="10"/>
      <c r="FZ523" s="10"/>
      <c r="GA523" s="10"/>
      <c r="GB523" s="10"/>
      <c r="GC523" s="10"/>
      <c r="GD523" s="10"/>
      <c r="GE523" s="10"/>
      <c r="GF523" s="10"/>
      <c r="GG523" s="10"/>
      <c r="GH523" s="10"/>
      <c r="GI523" s="10"/>
      <c r="GJ523" s="10"/>
      <c r="GK523" s="10"/>
      <c r="GL523" s="10"/>
      <c r="GM523" s="10"/>
      <c r="GN523" s="10"/>
      <c r="GO523" s="10"/>
      <c r="GP523" s="10"/>
      <c r="GQ523" s="10"/>
      <c r="GR523" s="10"/>
      <c r="GS523" s="10"/>
      <c r="GT523" s="10"/>
      <c r="GU523" s="10"/>
      <c r="GV523" s="10"/>
      <c r="GW523" s="10"/>
      <c r="GX523" s="10"/>
      <c r="GY523" s="10"/>
      <c r="GZ523" s="10"/>
      <c r="HA523" s="10"/>
      <c r="HB523" s="10"/>
      <c r="HC523" s="10"/>
      <c r="HD523" s="10"/>
      <c r="HE523" s="10"/>
      <c r="HF523" s="10"/>
      <c r="HG523" s="10"/>
      <c r="HH523" s="10"/>
      <c r="HI523" s="10"/>
      <c r="HJ523" s="10"/>
      <c r="HK523" s="10"/>
      <c r="HL523" s="10"/>
      <c r="HM523" s="10"/>
      <c r="HN523" s="10"/>
      <c r="HO523" s="10"/>
      <c r="HP523" s="10"/>
      <c r="HQ523" s="10"/>
      <c r="HR523" s="10"/>
      <c r="HS523" s="10"/>
      <c r="HT523" s="10"/>
      <c r="HU523" s="10"/>
      <c r="HV523" s="10"/>
      <c r="HW523" s="10"/>
      <c r="HX523" s="10"/>
      <c r="HY523" s="10"/>
      <c r="HZ523" s="10"/>
      <c r="IA523" s="10"/>
      <c r="IB523" s="10"/>
      <c r="IC523" s="10"/>
      <c r="ID523" s="10"/>
      <c r="IE523" s="10"/>
      <c r="IF523" s="10"/>
      <c r="IG523" s="10"/>
      <c r="IH523" s="10"/>
      <c r="II523" s="10"/>
      <c r="IJ523" s="10"/>
      <c r="IK523" s="10"/>
      <c r="IL523" s="10"/>
      <c r="IM523" s="10"/>
      <c r="IN523" s="10"/>
      <c r="IO523" s="10"/>
      <c r="IP523" s="10"/>
      <c r="IQ523" s="10"/>
      <c r="IR523" s="10"/>
      <c r="IS523" s="10"/>
      <c r="IT523" s="10"/>
      <c r="IU523" s="10"/>
      <c r="IV523" s="10"/>
      <c r="IW523" s="10"/>
    </row>
    <row r="524" spans="1:257">
      <c r="A524" s="34"/>
      <c r="B524" s="50"/>
      <c r="C524" s="24"/>
      <c r="D524" s="24"/>
      <c r="E524" s="24"/>
      <c r="F524" s="25"/>
      <c r="G524" s="25"/>
      <c r="H524" s="25"/>
      <c r="I524" s="25"/>
      <c r="J524" s="24"/>
      <c r="K524" s="25"/>
      <c r="L524" s="25"/>
      <c r="M524" s="25"/>
      <c r="N524" s="25"/>
      <c r="O524" s="25"/>
      <c r="P524" s="25"/>
      <c r="Q524" s="25"/>
      <c r="R524" s="24"/>
      <c r="S524" s="26">
        <f t="shared" si="34"/>
        <v>0</v>
      </c>
      <c r="T524" s="26">
        <f>COUNTIF($V$4:V524,V524)</f>
        <v>481</v>
      </c>
      <c r="U524" s="26" t="str">
        <f>IF(T524=1,COUNTIF($T$4:T524,1),"")</f>
        <v/>
      </c>
      <c r="V524" s="27" t="str">
        <f t="shared" si="36"/>
        <v/>
      </c>
      <c r="W524" s="27">
        <f t="shared" si="35"/>
        <v>0</v>
      </c>
      <c r="X524" s="28"/>
      <c r="Y524" s="27"/>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0"/>
      <c r="DJ524" s="10"/>
      <c r="DK524" s="10"/>
      <c r="DL524" s="10"/>
      <c r="DM524" s="10"/>
      <c r="DN524" s="10"/>
      <c r="DO524" s="10"/>
      <c r="DP524" s="10"/>
      <c r="DQ524" s="10"/>
      <c r="DR524" s="10"/>
      <c r="DS524" s="10"/>
      <c r="DT524" s="10"/>
      <c r="DU524" s="10"/>
      <c r="DV524" s="10"/>
      <c r="DW524" s="10"/>
      <c r="DX524" s="10"/>
      <c r="DY524" s="10"/>
      <c r="DZ524" s="10"/>
      <c r="EA524" s="10"/>
      <c r="EB524" s="10"/>
      <c r="EC524" s="10"/>
      <c r="ED524" s="10"/>
      <c r="EE524" s="10"/>
      <c r="EF524" s="10"/>
      <c r="EG524" s="10"/>
      <c r="EH524" s="10"/>
      <c r="EI524" s="10"/>
      <c r="EJ524" s="10"/>
      <c r="EK524" s="10"/>
      <c r="EL524" s="10"/>
      <c r="EM524" s="10"/>
      <c r="EN524" s="10"/>
      <c r="EO524" s="10"/>
      <c r="EP524" s="10"/>
      <c r="EQ524" s="10"/>
      <c r="ER524" s="10"/>
      <c r="ES524" s="10"/>
      <c r="ET524" s="10"/>
      <c r="EU524" s="10"/>
      <c r="EV524" s="10"/>
      <c r="EW524" s="10"/>
      <c r="EX524" s="10"/>
      <c r="EY524" s="10"/>
      <c r="EZ524" s="10"/>
      <c r="FA524" s="10"/>
      <c r="FB524" s="10"/>
      <c r="FC524" s="10"/>
      <c r="FD524" s="10"/>
      <c r="FE524" s="10"/>
      <c r="FF524" s="10"/>
      <c r="FG524" s="10"/>
      <c r="FH524" s="10"/>
      <c r="FI524" s="10"/>
      <c r="FJ524" s="10"/>
      <c r="FK524" s="10"/>
      <c r="FL524" s="10"/>
      <c r="FM524" s="10"/>
      <c r="FN524" s="10"/>
      <c r="FO524" s="10"/>
      <c r="FP524" s="10"/>
      <c r="FQ524" s="10"/>
      <c r="FR524" s="10"/>
      <c r="FS524" s="10"/>
      <c r="FT524" s="10"/>
      <c r="FU524" s="10"/>
      <c r="FV524" s="10"/>
      <c r="FW524" s="10"/>
      <c r="FX524" s="10"/>
      <c r="FY524" s="10"/>
      <c r="FZ524" s="10"/>
      <c r="GA524" s="10"/>
      <c r="GB524" s="10"/>
      <c r="GC524" s="10"/>
      <c r="GD524" s="10"/>
      <c r="GE524" s="10"/>
      <c r="GF524" s="10"/>
      <c r="GG524" s="10"/>
      <c r="GH524" s="10"/>
      <c r="GI524" s="10"/>
      <c r="GJ524" s="10"/>
      <c r="GK524" s="10"/>
      <c r="GL524" s="10"/>
      <c r="GM524" s="10"/>
      <c r="GN524" s="10"/>
      <c r="GO524" s="10"/>
      <c r="GP524" s="10"/>
      <c r="GQ524" s="10"/>
      <c r="GR524" s="10"/>
      <c r="GS524" s="10"/>
      <c r="GT524" s="10"/>
      <c r="GU524" s="10"/>
      <c r="GV524" s="10"/>
      <c r="GW524" s="10"/>
      <c r="GX524" s="10"/>
      <c r="GY524" s="10"/>
      <c r="GZ524" s="10"/>
      <c r="HA524" s="10"/>
      <c r="HB524" s="10"/>
      <c r="HC524" s="10"/>
      <c r="HD524" s="10"/>
      <c r="HE524" s="10"/>
      <c r="HF524" s="10"/>
      <c r="HG524" s="10"/>
      <c r="HH524" s="10"/>
      <c r="HI524" s="10"/>
      <c r="HJ524" s="10"/>
      <c r="HK524" s="10"/>
      <c r="HL524" s="10"/>
      <c r="HM524" s="10"/>
      <c r="HN524" s="10"/>
      <c r="HO524" s="10"/>
      <c r="HP524" s="10"/>
      <c r="HQ524" s="10"/>
      <c r="HR524" s="10"/>
      <c r="HS524" s="10"/>
      <c r="HT524" s="10"/>
      <c r="HU524" s="10"/>
      <c r="HV524" s="10"/>
      <c r="HW524" s="10"/>
      <c r="HX524" s="10"/>
      <c r="HY524" s="10"/>
      <c r="HZ524" s="10"/>
      <c r="IA524" s="10"/>
      <c r="IB524" s="10"/>
      <c r="IC524" s="10"/>
      <c r="ID524" s="10"/>
      <c r="IE524" s="10"/>
      <c r="IF524" s="10"/>
      <c r="IG524" s="10"/>
      <c r="IH524" s="10"/>
      <c r="II524" s="10"/>
      <c r="IJ524" s="10"/>
      <c r="IK524" s="10"/>
      <c r="IL524" s="10"/>
      <c r="IM524" s="10"/>
      <c r="IN524" s="10"/>
      <c r="IO524" s="10"/>
      <c r="IP524" s="10"/>
      <c r="IQ524" s="10"/>
      <c r="IR524" s="10"/>
      <c r="IS524" s="10"/>
      <c r="IT524" s="10"/>
      <c r="IU524" s="10"/>
      <c r="IV524" s="10"/>
      <c r="IW524" s="10"/>
    </row>
    <row r="525" spans="1:257">
      <c r="A525" s="34"/>
      <c r="B525" s="50"/>
      <c r="C525" s="24"/>
      <c r="D525" s="24"/>
      <c r="E525" s="24"/>
      <c r="F525" s="25"/>
      <c r="G525" s="25"/>
      <c r="H525" s="25"/>
      <c r="I525" s="25"/>
      <c r="J525" s="24"/>
      <c r="K525" s="25"/>
      <c r="L525" s="25"/>
      <c r="M525" s="25"/>
      <c r="N525" s="25"/>
      <c r="O525" s="25"/>
      <c r="P525" s="25"/>
      <c r="Q525" s="25"/>
      <c r="R525" s="24"/>
      <c r="S525" s="26">
        <f t="shared" si="34"/>
        <v>0</v>
      </c>
      <c r="T525" s="26">
        <f>COUNTIF($V$4:V525,V525)</f>
        <v>482</v>
      </c>
      <c r="U525" s="26" t="str">
        <f>IF(T525=1,COUNTIF($T$4:T525,1),"")</f>
        <v/>
      </c>
      <c r="V525" s="27" t="str">
        <f t="shared" si="36"/>
        <v/>
      </c>
      <c r="W525" s="27">
        <f t="shared" si="35"/>
        <v>0</v>
      </c>
      <c r="X525" s="28"/>
      <c r="Y525" s="27"/>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0"/>
      <c r="DJ525" s="10"/>
      <c r="DK525" s="10"/>
      <c r="DL525" s="10"/>
      <c r="DM525" s="10"/>
      <c r="DN525" s="10"/>
      <c r="DO525" s="10"/>
      <c r="DP525" s="10"/>
      <c r="DQ525" s="10"/>
      <c r="DR525" s="10"/>
      <c r="DS525" s="10"/>
      <c r="DT525" s="10"/>
      <c r="DU525" s="10"/>
      <c r="DV525" s="10"/>
      <c r="DW525" s="10"/>
      <c r="DX525" s="10"/>
      <c r="DY525" s="10"/>
      <c r="DZ525" s="10"/>
      <c r="EA525" s="10"/>
      <c r="EB525" s="10"/>
      <c r="EC525" s="10"/>
      <c r="ED525" s="10"/>
      <c r="EE525" s="10"/>
      <c r="EF525" s="10"/>
      <c r="EG525" s="10"/>
      <c r="EH525" s="10"/>
      <c r="EI525" s="10"/>
      <c r="EJ525" s="10"/>
      <c r="EK525" s="10"/>
      <c r="EL525" s="10"/>
      <c r="EM525" s="10"/>
      <c r="EN525" s="10"/>
      <c r="EO525" s="10"/>
      <c r="EP525" s="10"/>
      <c r="EQ525" s="10"/>
      <c r="ER525" s="10"/>
      <c r="ES525" s="10"/>
      <c r="ET525" s="10"/>
      <c r="EU525" s="10"/>
      <c r="EV525" s="10"/>
      <c r="EW525" s="10"/>
      <c r="EX525" s="10"/>
      <c r="EY525" s="10"/>
      <c r="EZ525" s="10"/>
      <c r="FA525" s="10"/>
      <c r="FB525" s="10"/>
      <c r="FC525" s="10"/>
      <c r="FD525" s="10"/>
      <c r="FE525" s="10"/>
      <c r="FF525" s="10"/>
      <c r="FG525" s="10"/>
      <c r="FH525" s="10"/>
      <c r="FI525" s="10"/>
      <c r="FJ525" s="10"/>
      <c r="FK525" s="10"/>
      <c r="FL525" s="10"/>
      <c r="FM525" s="10"/>
      <c r="FN525" s="10"/>
      <c r="FO525" s="10"/>
      <c r="FP525" s="10"/>
      <c r="FQ525" s="10"/>
      <c r="FR525" s="10"/>
      <c r="FS525" s="10"/>
      <c r="FT525" s="10"/>
      <c r="FU525" s="10"/>
      <c r="FV525" s="10"/>
      <c r="FW525" s="10"/>
      <c r="FX525" s="10"/>
      <c r="FY525" s="10"/>
      <c r="FZ525" s="10"/>
      <c r="GA525" s="10"/>
      <c r="GB525" s="10"/>
      <c r="GC525" s="10"/>
      <c r="GD525" s="10"/>
      <c r="GE525" s="10"/>
      <c r="GF525" s="10"/>
      <c r="GG525" s="10"/>
      <c r="GH525" s="10"/>
      <c r="GI525" s="10"/>
      <c r="GJ525" s="10"/>
      <c r="GK525" s="10"/>
      <c r="GL525" s="10"/>
      <c r="GM525" s="10"/>
      <c r="GN525" s="10"/>
      <c r="GO525" s="10"/>
      <c r="GP525" s="10"/>
      <c r="GQ525" s="10"/>
      <c r="GR525" s="10"/>
      <c r="GS525" s="10"/>
      <c r="GT525" s="10"/>
      <c r="GU525" s="10"/>
      <c r="GV525" s="10"/>
      <c r="GW525" s="10"/>
      <c r="GX525" s="10"/>
      <c r="GY525" s="10"/>
      <c r="GZ525" s="10"/>
      <c r="HA525" s="10"/>
      <c r="HB525" s="10"/>
      <c r="HC525" s="10"/>
      <c r="HD525" s="10"/>
      <c r="HE525" s="10"/>
      <c r="HF525" s="10"/>
      <c r="HG525" s="10"/>
      <c r="HH525" s="10"/>
      <c r="HI525" s="10"/>
      <c r="HJ525" s="10"/>
      <c r="HK525" s="10"/>
      <c r="HL525" s="10"/>
      <c r="HM525" s="10"/>
      <c r="HN525" s="10"/>
      <c r="HO525" s="10"/>
      <c r="HP525" s="10"/>
      <c r="HQ525" s="10"/>
      <c r="HR525" s="10"/>
      <c r="HS525" s="10"/>
      <c r="HT525" s="10"/>
      <c r="HU525" s="10"/>
      <c r="HV525" s="10"/>
      <c r="HW525" s="10"/>
      <c r="HX525" s="10"/>
      <c r="HY525" s="10"/>
      <c r="HZ525" s="10"/>
      <c r="IA525" s="10"/>
      <c r="IB525" s="10"/>
      <c r="IC525" s="10"/>
      <c r="ID525" s="10"/>
      <c r="IE525" s="10"/>
      <c r="IF525" s="10"/>
      <c r="IG525" s="10"/>
      <c r="IH525" s="10"/>
      <c r="II525" s="10"/>
      <c r="IJ525" s="10"/>
      <c r="IK525" s="10"/>
      <c r="IL525" s="10"/>
      <c r="IM525" s="10"/>
      <c r="IN525" s="10"/>
      <c r="IO525" s="10"/>
      <c r="IP525" s="10"/>
      <c r="IQ525" s="10"/>
      <c r="IR525" s="10"/>
      <c r="IS525" s="10"/>
      <c r="IT525" s="10"/>
      <c r="IU525" s="10"/>
      <c r="IV525" s="10"/>
      <c r="IW525" s="10"/>
    </row>
    <row r="526" spans="1:257">
      <c r="A526" s="34"/>
      <c r="B526" s="50"/>
      <c r="C526" s="24"/>
      <c r="D526" s="24"/>
      <c r="E526" s="24"/>
      <c r="F526" s="25"/>
      <c r="G526" s="25"/>
      <c r="H526" s="25"/>
      <c r="I526" s="25"/>
      <c r="J526" s="24"/>
      <c r="K526" s="25"/>
      <c r="L526" s="25"/>
      <c r="M526" s="25"/>
      <c r="N526" s="25"/>
      <c r="O526" s="25"/>
      <c r="P526" s="25"/>
      <c r="Q526" s="25"/>
      <c r="R526" s="24"/>
      <c r="S526" s="26">
        <f t="shared" si="34"/>
        <v>0</v>
      </c>
      <c r="T526" s="26">
        <f>COUNTIF($V$4:V526,V526)</f>
        <v>483</v>
      </c>
      <c r="U526" s="26" t="str">
        <f>IF(T526=1,COUNTIF($T$4:T526,1),"")</f>
        <v/>
      </c>
      <c r="V526" s="27" t="str">
        <f t="shared" si="36"/>
        <v/>
      </c>
      <c r="W526" s="27">
        <f t="shared" si="35"/>
        <v>0</v>
      </c>
      <c r="X526" s="28"/>
      <c r="Y526" s="27"/>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0"/>
      <c r="DJ526" s="10"/>
      <c r="DK526" s="10"/>
      <c r="DL526" s="10"/>
      <c r="DM526" s="10"/>
      <c r="DN526" s="10"/>
      <c r="DO526" s="10"/>
      <c r="DP526" s="10"/>
      <c r="DQ526" s="10"/>
      <c r="DR526" s="10"/>
      <c r="DS526" s="10"/>
      <c r="DT526" s="10"/>
      <c r="DU526" s="10"/>
      <c r="DV526" s="10"/>
      <c r="DW526" s="10"/>
      <c r="DX526" s="10"/>
      <c r="DY526" s="10"/>
      <c r="DZ526" s="10"/>
      <c r="EA526" s="10"/>
      <c r="EB526" s="10"/>
      <c r="EC526" s="10"/>
      <c r="ED526" s="10"/>
      <c r="EE526" s="10"/>
      <c r="EF526" s="10"/>
      <c r="EG526" s="10"/>
      <c r="EH526" s="10"/>
      <c r="EI526" s="10"/>
      <c r="EJ526" s="10"/>
      <c r="EK526" s="10"/>
      <c r="EL526" s="10"/>
      <c r="EM526" s="10"/>
      <c r="EN526" s="10"/>
      <c r="EO526" s="10"/>
      <c r="EP526" s="10"/>
      <c r="EQ526" s="10"/>
      <c r="ER526" s="10"/>
      <c r="ES526" s="10"/>
      <c r="ET526" s="10"/>
      <c r="EU526" s="10"/>
      <c r="EV526" s="10"/>
      <c r="EW526" s="10"/>
      <c r="EX526" s="10"/>
      <c r="EY526" s="10"/>
      <c r="EZ526" s="10"/>
      <c r="FA526" s="10"/>
      <c r="FB526" s="10"/>
      <c r="FC526" s="10"/>
      <c r="FD526" s="10"/>
      <c r="FE526" s="10"/>
      <c r="FF526" s="10"/>
      <c r="FG526" s="10"/>
      <c r="FH526" s="10"/>
      <c r="FI526" s="10"/>
      <c r="FJ526" s="10"/>
      <c r="FK526" s="10"/>
      <c r="FL526" s="10"/>
      <c r="FM526" s="10"/>
      <c r="FN526" s="10"/>
      <c r="FO526" s="10"/>
      <c r="FP526" s="10"/>
      <c r="FQ526" s="10"/>
      <c r="FR526" s="10"/>
      <c r="FS526" s="10"/>
      <c r="FT526" s="10"/>
      <c r="FU526" s="10"/>
      <c r="FV526" s="10"/>
      <c r="FW526" s="10"/>
      <c r="FX526" s="10"/>
      <c r="FY526" s="10"/>
      <c r="FZ526" s="10"/>
      <c r="GA526" s="10"/>
      <c r="GB526" s="10"/>
      <c r="GC526" s="10"/>
      <c r="GD526" s="10"/>
      <c r="GE526" s="10"/>
      <c r="GF526" s="10"/>
      <c r="GG526" s="10"/>
      <c r="GH526" s="10"/>
      <c r="GI526" s="10"/>
      <c r="GJ526" s="10"/>
      <c r="GK526" s="10"/>
      <c r="GL526" s="10"/>
      <c r="GM526" s="10"/>
      <c r="GN526" s="10"/>
      <c r="GO526" s="10"/>
      <c r="GP526" s="10"/>
      <c r="GQ526" s="10"/>
      <c r="GR526" s="10"/>
      <c r="GS526" s="10"/>
      <c r="GT526" s="10"/>
      <c r="GU526" s="10"/>
      <c r="GV526" s="10"/>
      <c r="GW526" s="10"/>
      <c r="GX526" s="10"/>
      <c r="GY526" s="10"/>
      <c r="GZ526" s="10"/>
      <c r="HA526" s="10"/>
      <c r="HB526" s="10"/>
      <c r="HC526" s="10"/>
      <c r="HD526" s="10"/>
      <c r="HE526" s="10"/>
      <c r="HF526" s="10"/>
      <c r="HG526" s="10"/>
      <c r="HH526" s="10"/>
      <c r="HI526" s="10"/>
      <c r="HJ526" s="10"/>
      <c r="HK526" s="10"/>
      <c r="HL526" s="10"/>
      <c r="HM526" s="10"/>
      <c r="HN526" s="10"/>
      <c r="HO526" s="10"/>
      <c r="HP526" s="10"/>
      <c r="HQ526" s="10"/>
      <c r="HR526" s="10"/>
      <c r="HS526" s="10"/>
      <c r="HT526" s="10"/>
      <c r="HU526" s="10"/>
      <c r="HV526" s="10"/>
      <c r="HW526" s="10"/>
      <c r="HX526" s="10"/>
      <c r="HY526" s="10"/>
      <c r="HZ526" s="10"/>
      <c r="IA526" s="10"/>
      <c r="IB526" s="10"/>
      <c r="IC526" s="10"/>
      <c r="ID526" s="10"/>
      <c r="IE526" s="10"/>
      <c r="IF526" s="10"/>
      <c r="IG526" s="10"/>
      <c r="IH526" s="10"/>
      <c r="II526" s="10"/>
      <c r="IJ526" s="10"/>
      <c r="IK526" s="10"/>
      <c r="IL526" s="10"/>
      <c r="IM526" s="10"/>
      <c r="IN526" s="10"/>
      <c r="IO526" s="10"/>
      <c r="IP526" s="10"/>
      <c r="IQ526" s="10"/>
      <c r="IR526" s="10"/>
      <c r="IS526" s="10"/>
      <c r="IT526" s="10"/>
      <c r="IU526" s="10"/>
      <c r="IV526" s="10"/>
      <c r="IW526" s="10"/>
    </row>
    <row r="527" spans="1:257">
      <c r="A527" s="34"/>
      <c r="B527" s="50"/>
      <c r="C527" s="24"/>
      <c r="D527" s="24"/>
      <c r="E527" s="24"/>
      <c r="F527" s="25"/>
      <c r="G527" s="25"/>
      <c r="H527" s="25"/>
      <c r="I527" s="25"/>
      <c r="J527" s="24"/>
      <c r="K527" s="25"/>
      <c r="L527" s="25"/>
      <c r="M527" s="25"/>
      <c r="N527" s="25"/>
      <c r="O527" s="25"/>
      <c r="P527" s="25"/>
      <c r="Q527" s="25"/>
      <c r="R527" s="24"/>
      <c r="S527" s="26">
        <f t="shared" si="34"/>
        <v>0</v>
      </c>
      <c r="T527" s="26">
        <f>COUNTIF($V$4:V527,V527)</f>
        <v>484</v>
      </c>
      <c r="U527" s="26" t="str">
        <f>IF(T527=1,COUNTIF($T$4:T527,1),"")</f>
        <v/>
      </c>
      <c r="V527" s="27" t="str">
        <f t="shared" si="36"/>
        <v/>
      </c>
      <c r="W527" s="27">
        <f t="shared" si="35"/>
        <v>0</v>
      </c>
      <c r="X527" s="28"/>
      <c r="Y527" s="27"/>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0"/>
      <c r="DJ527" s="10"/>
      <c r="DK527" s="10"/>
      <c r="DL527" s="10"/>
      <c r="DM527" s="10"/>
      <c r="DN527" s="10"/>
      <c r="DO527" s="10"/>
      <c r="DP527" s="10"/>
      <c r="DQ527" s="10"/>
      <c r="DR527" s="10"/>
      <c r="DS527" s="10"/>
      <c r="DT527" s="10"/>
      <c r="DU527" s="10"/>
      <c r="DV527" s="10"/>
      <c r="DW527" s="10"/>
      <c r="DX527" s="10"/>
      <c r="DY527" s="10"/>
      <c r="DZ527" s="10"/>
      <c r="EA527" s="10"/>
      <c r="EB527" s="10"/>
      <c r="EC527" s="10"/>
      <c r="ED527" s="10"/>
      <c r="EE527" s="10"/>
      <c r="EF527" s="10"/>
      <c r="EG527" s="10"/>
      <c r="EH527" s="10"/>
      <c r="EI527" s="10"/>
      <c r="EJ527" s="10"/>
      <c r="EK527" s="10"/>
      <c r="EL527" s="10"/>
      <c r="EM527" s="10"/>
      <c r="EN527" s="10"/>
      <c r="EO527" s="10"/>
      <c r="EP527" s="10"/>
      <c r="EQ527" s="10"/>
      <c r="ER527" s="10"/>
      <c r="ES527" s="10"/>
      <c r="ET527" s="10"/>
      <c r="EU527" s="10"/>
      <c r="EV527" s="10"/>
      <c r="EW527" s="10"/>
      <c r="EX527" s="10"/>
      <c r="EY527" s="10"/>
      <c r="EZ527" s="10"/>
      <c r="FA527" s="10"/>
      <c r="FB527" s="10"/>
      <c r="FC527" s="10"/>
      <c r="FD527" s="10"/>
      <c r="FE527" s="10"/>
      <c r="FF527" s="10"/>
      <c r="FG527" s="10"/>
      <c r="FH527" s="10"/>
      <c r="FI527" s="10"/>
      <c r="FJ527" s="10"/>
      <c r="FK527" s="10"/>
      <c r="FL527" s="10"/>
      <c r="FM527" s="10"/>
      <c r="FN527" s="10"/>
      <c r="FO527" s="10"/>
      <c r="FP527" s="10"/>
      <c r="FQ527" s="10"/>
      <c r="FR527" s="10"/>
      <c r="FS527" s="10"/>
      <c r="FT527" s="10"/>
      <c r="FU527" s="10"/>
      <c r="FV527" s="10"/>
      <c r="FW527" s="10"/>
      <c r="FX527" s="10"/>
      <c r="FY527" s="10"/>
      <c r="FZ527" s="10"/>
      <c r="GA527" s="10"/>
      <c r="GB527" s="10"/>
      <c r="GC527" s="10"/>
      <c r="GD527" s="10"/>
      <c r="GE527" s="10"/>
      <c r="GF527" s="10"/>
      <c r="GG527" s="10"/>
      <c r="GH527" s="10"/>
      <c r="GI527" s="10"/>
      <c r="GJ527" s="10"/>
      <c r="GK527" s="10"/>
      <c r="GL527" s="10"/>
      <c r="GM527" s="10"/>
      <c r="GN527" s="10"/>
      <c r="GO527" s="10"/>
      <c r="GP527" s="10"/>
      <c r="GQ527" s="10"/>
      <c r="GR527" s="10"/>
      <c r="GS527" s="10"/>
      <c r="GT527" s="10"/>
      <c r="GU527" s="10"/>
      <c r="GV527" s="10"/>
      <c r="GW527" s="10"/>
      <c r="GX527" s="10"/>
      <c r="GY527" s="10"/>
      <c r="GZ527" s="10"/>
      <c r="HA527" s="10"/>
      <c r="HB527" s="10"/>
      <c r="HC527" s="10"/>
      <c r="HD527" s="10"/>
      <c r="HE527" s="10"/>
      <c r="HF527" s="10"/>
      <c r="HG527" s="10"/>
      <c r="HH527" s="10"/>
      <c r="HI527" s="10"/>
      <c r="HJ527" s="10"/>
      <c r="HK527" s="10"/>
      <c r="HL527" s="10"/>
      <c r="HM527" s="10"/>
      <c r="HN527" s="10"/>
      <c r="HO527" s="10"/>
      <c r="HP527" s="10"/>
      <c r="HQ527" s="10"/>
      <c r="HR527" s="10"/>
      <c r="HS527" s="10"/>
      <c r="HT527" s="10"/>
      <c r="HU527" s="10"/>
      <c r="HV527" s="10"/>
      <c r="HW527" s="10"/>
      <c r="HX527" s="10"/>
      <c r="HY527" s="10"/>
      <c r="HZ527" s="10"/>
      <c r="IA527" s="10"/>
      <c r="IB527" s="10"/>
      <c r="IC527" s="10"/>
      <c r="ID527" s="10"/>
      <c r="IE527" s="10"/>
      <c r="IF527" s="10"/>
      <c r="IG527" s="10"/>
      <c r="IH527" s="10"/>
      <c r="II527" s="10"/>
      <c r="IJ527" s="10"/>
      <c r="IK527" s="10"/>
      <c r="IL527" s="10"/>
      <c r="IM527" s="10"/>
      <c r="IN527" s="10"/>
      <c r="IO527" s="10"/>
      <c r="IP527" s="10"/>
      <c r="IQ527" s="10"/>
      <c r="IR527" s="10"/>
      <c r="IS527" s="10"/>
      <c r="IT527" s="10"/>
      <c r="IU527" s="10"/>
      <c r="IV527" s="10"/>
      <c r="IW527" s="10"/>
    </row>
    <row r="528" spans="1:257">
      <c r="A528" s="34"/>
      <c r="B528" s="50"/>
      <c r="C528" s="24"/>
      <c r="D528" s="24"/>
      <c r="E528" s="24"/>
      <c r="F528" s="25"/>
      <c r="G528" s="25"/>
      <c r="H528" s="25"/>
      <c r="I528" s="25"/>
      <c r="J528" s="24"/>
      <c r="K528" s="25"/>
      <c r="L528" s="25"/>
      <c r="M528" s="25"/>
      <c r="N528" s="25"/>
      <c r="O528" s="25"/>
      <c r="P528" s="25"/>
      <c r="Q528" s="25"/>
      <c r="R528" s="24"/>
      <c r="S528" s="26">
        <f t="shared" si="34"/>
        <v>0</v>
      </c>
      <c r="T528" s="26">
        <f>COUNTIF($V$4:V528,V528)</f>
        <v>485</v>
      </c>
      <c r="U528" s="26" t="str">
        <f>IF(T528=1,COUNTIF($T$4:T528,1),"")</f>
        <v/>
      </c>
      <c r="V528" s="27" t="str">
        <f t="shared" si="36"/>
        <v/>
      </c>
      <c r="W528" s="27">
        <f t="shared" si="35"/>
        <v>0</v>
      </c>
      <c r="X528" s="28"/>
      <c r="Y528" s="27"/>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c r="DR528" s="10"/>
      <c r="DS528" s="10"/>
      <c r="DT528" s="10"/>
      <c r="DU528" s="10"/>
      <c r="DV528" s="10"/>
      <c r="DW528" s="10"/>
      <c r="DX528" s="10"/>
      <c r="DY528" s="10"/>
      <c r="DZ528" s="10"/>
      <c r="EA528" s="10"/>
      <c r="EB528" s="10"/>
      <c r="EC528" s="10"/>
      <c r="ED528" s="10"/>
      <c r="EE528" s="10"/>
      <c r="EF528" s="10"/>
      <c r="EG528" s="10"/>
      <c r="EH528" s="10"/>
      <c r="EI528" s="10"/>
      <c r="EJ528" s="10"/>
      <c r="EK528" s="10"/>
      <c r="EL528" s="10"/>
      <c r="EM528" s="10"/>
      <c r="EN528" s="10"/>
      <c r="EO528" s="10"/>
      <c r="EP528" s="10"/>
      <c r="EQ528" s="10"/>
      <c r="ER528" s="10"/>
      <c r="ES528" s="10"/>
      <c r="ET528" s="10"/>
      <c r="EU528" s="10"/>
      <c r="EV528" s="10"/>
      <c r="EW528" s="10"/>
      <c r="EX528" s="10"/>
      <c r="EY528" s="10"/>
      <c r="EZ528" s="10"/>
      <c r="FA528" s="10"/>
      <c r="FB528" s="10"/>
      <c r="FC528" s="10"/>
      <c r="FD528" s="10"/>
      <c r="FE528" s="10"/>
      <c r="FF528" s="10"/>
      <c r="FG528" s="10"/>
      <c r="FH528" s="10"/>
      <c r="FI528" s="10"/>
      <c r="FJ528" s="10"/>
      <c r="FK528" s="10"/>
      <c r="FL528" s="10"/>
      <c r="FM528" s="10"/>
      <c r="FN528" s="10"/>
      <c r="FO528" s="10"/>
      <c r="FP528" s="10"/>
      <c r="FQ528" s="10"/>
      <c r="FR528" s="10"/>
      <c r="FS528" s="10"/>
      <c r="FT528" s="10"/>
      <c r="FU528" s="10"/>
      <c r="FV528" s="10"/>
      <c r="FW528" s="10"/>
      <c r="FX528" s="10"/>
      <c r="FY528" s="10"/>
      <c r="FZ528" s="10"/>
      <c r="GA528" s="10"/>
      <c r="GB528" s="10"/>
      <c r="GC528" s="10"/>
      <c r="GD528" s="10"/>
      <c r="GE528" s="10"/>
      <c r="GF528" s="10"/>
      <c r="GG528" s="10"/>
      <c r="GH528" s="10"/>
      <c r="GI528" s="10"/>
      <c r="GJ528" s="10"/>
      <c r="GK528" s="10"/>
      <c r="GL528" s="10"/>
      <c r="GM528" s="10"/>
      <c r="GN528" s="10"/>
      <c r="GO528" s="10"/>
      <c r="GP528" s="10"/>
      <c r="GQ528" s="10"/>
      <c r="GR528" s="10"/>
      <c r="GS528" s="10"/>
      <c r="GT528" s="10"/>
      <c r="GU528" s="10"/>
      <c r="GV528" s="10"/>
      <c r="GW528" s="10"/>
      <c r="GX528" s="10"/>
      <c r="GY528" s="10"/>
      <c r="GZ528" s="10"/>
      <c r="HA528" s="10"/>
      <c r="HB528" s="10"/>
      <c r="HC528" s="10"/>
      <c r="HD528" s="10"/>
      <c r="HE528" s="10"/>
      <c r="HF528" s="10"/>
      <c r="HG528" s="10"/>
      <c r="HH528" s="10"/>
      <c r="HI528" s="10"/>
      <c r="HJ528" s="10"/>
      <c r="HK528" s="10"/>
      <c r="HL528" s="10"/>
      <c r="HM528" s="10"/>
      <c r="HN528" s="10"/>
      <c r="HO528" s="10"/>
      <c r="HP528" s="10"/>
      <c r="HQ528" s="10"/>
      <c r="HR528" s="10"/>
      <c r="HS528" s="10"/>
      <c r="HT528" s="10"/>
      <c r="HU528" s="10"/>
      <c r="HV528" s="10"/>
      <c r="HW528" s="10"/>
      <c r="HX528" s="10"/>
      <c r="HY528" s="10"/>
      <c r="HZ528" s="10"/>
      <c r="IA528" s="10"/>
      <c r="IB528" s="10"/>
      <c r="IC528" s="10"/>
      <c r="ID528" s="10"/>
      <c r="IE528" s="10"/>
      <c r="IF528" s="10"/>
      <c r="IG528" s="10"/>
      <c r="IH528" s="10"/>
      <c r="II528" s="10"/>
      <c r="IJ528" s="10"/>
      <c r="IK528" s="10"/>
      <c r="IL528" s="10"/>
      <c r="IM528" s="10"/>
      <c r="IN528" s="10"/>
      <c r="IO528" s="10"/>
      <c r="IP528" s="10"/>
      <c r="IQ528" s="10"/>
      <c r="IR528" s="10"/>
      <c r="IS528" s="10"/>
      <c r="IT528" s="10"/>
      <c r="IU528" s="10"/>
      <c r="IV528" s="10"/>
      <c r="IW528" s="10"/>
    </row>
    <row r="529" spans="1:257">
      <c r="A529" s="34"/>
      <c r="B529" s="50"/>
      <c r="C529" s="24"/>
      <c r="D529" s="24"/>
      <c r="E529" s="24"/>
      <c r="F529" s="25"/>
      <c r="G529" s="25"/>
      <c r="H529" s="25"/>
      <c r="I529" s="25"/>
      <c r="J529" s="24"/>
      <c r="K529" s="25"/>
      <c r="L529" s="25"/>
      <c r="M529" s="25"/>
      <c r="N529" s="25"/>
      <c r="O529" s="25"/>
      <c r="P529" s="25"/>
      <c r="Q529" s="25"/>
      <c r="R529" s="24"/>
      <c r="S529" s="26">
        <f t="shared" si="34"/>
        <v>0</v>
      </c>
      <c r="T529" s="26">
        <f>COUNTIF($V$4:V529,V529)</f>
        <v>486</v>
      </c>
      <c r="U529" s="26" t="str">
        <f>IF(T529=1,COUNTIF($T$4:T529,1),"")</f>
        <v/>
      </c>
      <c r="V529" s="27" t="str">
        <f t="shared" si="36"/>
        <v/>
      </c>
      <c r="W529" s="27">
        <f t="shared" si="35"/>
        <v>0</v>
      </c>
      <c r="X529" s="28"/>
      <c r="Y529" s="27"/>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0"/>
      <c r="DJ529" s="10"/>
      <c r="DK529" s="10"/>
      <c r="DL529" s="10"/>
      <c r="DM529" s="10"/>
      <c r="DN529" s="10"/>
      <c r="DO529" s="10"/>
      <c r="DP529" s="10"/>
      <c r="DQ529" s="10"/>
      <c r="DR529" s="10"/>
      <c r="DS529" s="10"/>
      <c r="DT529" s="10"/>
      <c r="DU529" s="10"/>
      <c r="DV529" s="10"/>
      <c r="DW529" s="10"/>
      <c r="DX529" s="10"/>
      <c r="DY529" s="10"/>
      <c r="DZ529" s="10"/>
      <c r="EA529" s="10"/>
      <c r="EB529" s="10"/>
      <c r="EC529" s="10"/>
      <c r="ED529" s="10"/>
      <c r="EE529" s="10"/>
      <c r="EF529" s="10"/>
      <c r="EG529" s="10"/>
      <c r="EH529" s="10"/>
      <c r="EI529" s="10"/>
      <c r="EJ529" s="10"/>
      <c r="EK529" s="10"/>
      <c r="EL529" s="10"/>
      <c r="EM529" s="10"/>
      <c r="EN529" s="10"/>
      <c r="EO529" s="10"/>
      <c r="EP529" s="10"/>
      <c r="EQ529" s="10"/>
      <c r="ER529" s="10"/>
      <c r="ES529" s="10"/>
      <c r="ET529" s="10"/>
      <c r="EU529" s="10"/>
      <c r="EV529" s="10"/>
      <c r="EW529" s="10"/>
      <c r="EX529" s="10"/>
      <c r="EY529" s="10"/>
      <c r="EZ529" s="10"/>
      <c r="FA529" s="10"/>
      <c r="FB529" s="10"/>
      <c r="FC529" s="10"/>
      <c r="FD529" s="10"/>
      <c r="FE529" s="10"/>
      <c r="FF529" s="10"/>
      <c r="FG529" s="10"/>
      <c r="FH529" s="10"/>
      <c r="FI529" s="10"/>
      <c r="FJ529" s="10"/>
      <c r="FK529" s="10"/>
      <c r="FL529" s="10"/>
      <c r="FM529" s="10"/>
      <c r="FN529" s="10"/>
      <c r="FO529" s="10"/>
      <c r="FP529" s="10"/>
      <c r="FQ529" s="10"/>
      <c r="FR529" s="10"/>
      <c r="FS529" s="10"/>
      <c r="FT529" s="10"/>
      <c r="FU529" s="10"/>
      <c r="FV529" s="10"/>
      <c r="FW529" s="10"/>
      <c r="FX529" s="10"/>
      <c r="FY529" s="10"/>
      <c r="FZ529" s="10"/>
      <c r="GA529" s="10"/>
      <c r="GB529" s="10"/>
      <c r="GC529" s="10"/>
      <c r="GD529" s="10"/>
      <c r="GE529" s="10"/>
      <c r="GF529" s="10"/>
      <c r="GG529" s="10"/>
      <c r="GH529" s="10"/>
      <c r="GI529" s="10"/>
      <c r="GJ529" s="10"/>
      <c r="GK529" s="10"/>
      <c r="GL529" s="10"/>
      <c r="GM529" s="10"/>
      <c r="GN529" s="10"/>
      <c r="GO529" s="10"/>
      <c r="GP529" s="10"/>
      <c r="GQ529" s="10"/>
      <c r="GR529" s="10"/>
      <c r="GS529" s="10"/>
      <c r="GT529" s="10"/>
      <c r="GU529" s="10"/>
      <c r="GV529" s="10"/>
      <c r="GW529" s="10"/>
      <c r="GX529" s="10"/>
      <c r="GY529" s="10"/>
      <c r="GZ529" s="10"/>
      <c r="HA529" s="10"/>
      <c r="HB529" s="10"/>
      <c r="HC529" s="10"/>
      <c r="HD529" s="10"/>
      <c r="HE529" s="10"/>
      <c r="HF529" s="10"/>
      <c r="HG529" s="10"/>
      <c r="HH529" s="10"/>
      <c r="HI529" s="10"/>
      <c r="HJ529" s="10"/>
      <c r="HK529" s="10"/>
      <c r="HL529" s="10"/>
      <c r="HM529" s="10"/>
      <c r="HN529" s="10"/>
      <c r="HO529" s="10"/>
      <c r="HP529" s="10"/>
      <c r="HQ529" s="10"/>
      <c r="HR529" s="10"/>
      <c r="HS529" s="10"/>
      <c r="HT529" s="10"/>
      <c r="HU529" s="10"/>
      <c r="HV529" s="10"/>
      <c r="HW529" s="10"/>
      <c r="HX529" s="10"/>
      <c r="HY529" s="10"/>
      <c r="HZ529" s="10"/>
      <c r="IA529" s="10"/>
      <c r="IB529" s="10"/>
      <c r="IC529" s="10"/>
      <c r="ID529" s="10"/>
      <c r="IE529" s="10"/>
      <c r="IF529" s="10"/>
      <c r="IG529" s="10"/>
      <c r="IH529" s="10"/>
      <c r="II529" s="10"/>
      <c r="IJ529" s="10"/>
      <c r="IK529" s="10"/>
      <c r="IL529" s="10"/>
      <c r="IM529" s="10"/>
      <c r="IN529" s="10"/>
      <c r="IO529" s="10"/>
      <c r="IP529" s="10"/>
      <c r="IQ529" s="10"/>
      <c r="IR529" s="10"/>
      <c r="IS529" s="10"/>
      <c r="IT529" s="10"/>
      <c r="IU529" s="10"/>
      <c r="IV529" s="10"/>
      <c r="IW529" s="10"/>
    </row>
    <row r="530" spans="1:257">
      <c r="A530" s="34"/>
      <c r="B530" s="50"/>
      <c r="C530" s="24"/>
      <c r="D530" s="24"/>
      <c r="E530" s="24"/>
      <c r="F530" s="25"/>
      <c r="G530" s="25"/>
      <c r="H530" s="25"/>
      <c r="I530" s="25"/>
      <c r="J530" s="24"/>
      <c r="K530" s="25"/>
      <c r="L530" s="25"/>
      <c r="M530" s="25"/>
      <c r="N530" s="25"/>
      <c r="O530" s="25"/>
      <c r="P530" s="25"/>
      <c r="Q530" s="25"/>
      <c r="R530" s="24"/>
      <c r="S530" s="26">
        <f t="shared" si="34"/>
        <v>0</v>
      </c>
      <c r="T530" s="26">
        <f>COUNTIF($V$4:V530,V530)</f>
        <v>487</v>
      </c>
      <c r="U530" s="26" t="str">
        <f>IF(T530=1,COUNTIF($T$4:T530,1),"")</f>
        <v/>
      </c>
      <c r="V530" s="27" t="str">
        <f t="shared" si="36"/>
        <v/>
      </c>
      <c r="W530" s="27">
        <f t="shared" si="35"/>
        <v>0</v>
      </c>
      <c r="X530" s="28"/>
      <c r="Y530" s="27"/>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0"/>
      <c r="DJ530" s="10"/>
      <c r="DK530" s="10"/>
      <c r="DL530" s="10"/>
      <c r="DM530" s="10"/>
      <c r="DN530" s="10"/>
      <c r="DO530" s="10"/>
      <c r="DP530" s="10"/>
      <c r="DQ530" s="10"/>
      <c r="DR530" s="10"/>
      <c r="DS530" s="10"/>
      <c r="DT530" s="10"/>
      <c r="DU530" s="10"/>
      <c r="DV530" s="10"/>
      <c r="DW530" s="10"/>
      <c r="DX530" s="10"/>
      <c r="DY530" s="10"/>
      <c r="DZ530" s="10"/>
      <c r="EA530" s="10"/>
      <c r="EB530" s="10"/>
      <c r="EC530" s="10"/>
      <c r="ED530" s="10"/>
      <c r="EE530" s="10"/>
      <c r="EF530" s="10"/>
      <c r="EG530" s="10"/>
      <c r="EH530" s="10"/>
      <c r="EI530" s="10"/>
      <c r="EJ530" s="10"/>
      <c r="EK530" s="10"/>
      <c r="EL530" s="10"/>
      <c r="EM530" s="10"/>
      <c r="EN530" s="10"/>
      <c r="EO530" s="10"/>
      <c r="EP530" s="10"/>
      <c r="EQ530" s="10"/>
      <c r="ER530" s="10"/>
      <c r="ES530" s="10"/>
      <c r="ET530" s="10"/>
      <c r="EU530" s="10"/>
      <c r="EV530" s="10"/>
      <c r="EW530" s="10"/>
      <c r="EX530" s="10"/>
      <c r="EY530" s="10"/>
      <c r="EZ530" s="10"/>
      <c r="FA530" s="10"/>
      <c r="FB530" s="10"/>
      <c r="FC530" s="10"/>
      <c r="FD530" s="10"/>
      <c r="FE530" s="10"/>
      <c r="FF530" s="10"/>
      <c r="FG530" s="10"/>
      <c r="FH530" s="10"/>
      <c r="FI530" s="10"/>
      <c r="FJ530" s="10"/>
      <c r="FK530" s="10"/>
      <c r="FL530" s="10"/>
      <c r="FM530" s="10"/>
      <c r="FN530" s="10"/>
      <c r="FO530" s="10"/>
      <c r="FP530" s="10"/>
      <c r="FQ530" s="10"/>
      <c r="FR530" s="10"/>
      <c r="FS530" s="10"/>
      <c r="FT530" s="10"/>
      <c r="FU530" s="10"/>
      <c r="FV530" s="10"/>
      <c r="FW530" s="10"/>
      <c r="FX530" s="10"/>
      <c r="FY530" s="10"/>
      <c r="FZ530" s="10"/>
      <c r="GA530" s="10"/>
      <c r="GB530" s="10"/>
      <c r="GC530" s="10"/>
      <c r="GD530" s="10"/>
      <c r="GE530" s="10"/>
      <c r="GF530" s="10"/>
      <c r="GG530" s="10"/>
      <c r="GH530" s="10"/>
      <c r="GI530" s="10"/>
      <c r="GJ530" s="10"/>
      <c r="GK530" s="10"/>
      <c r="GL530" s="10"/>
      <c r="GM530" s="10"/>
      <c r="GN530" s="10"/>
      <c r="GO530" s="10"/>
      <c r="GP530" s="10"/>
      <c r="GQ530" s="10"/>
      <c r="GR530" s="10"/>
      <c r="GS530" s="10"/>
      <c r="GT530" s="10"/>
      <c r="GU530" s="10"/>
      <c r="GV530" s="10"/>
      <c r="GW530" s="10"/>
      <c r="GX530" s="10"/>
      <c r="GY530" s="10"/>
      <c r="GZ530" s="10"/>
      <c r="HA530" s="10"/>
      <c r="HB530" s="10"/>
      <c r="HC530" s="10"/>
      <c r="HD530" s="10"/>
      <c r="HE530" s="10"/>
      <c r="HF530" s="10"/>
      <c r="HG530" s="10"/>
      <c r="HH530" s="10"/>
      <c r="HI530" s="10"/>
      <c r="HJ530" s="10"/>
      <c r="HK530" s="10"/>
      <c r="HL530" s="10"/>
      <c r="HM530" s="10"/>
      <c r="HN530" s="10"/>
      <c r="HO530" s="10"/>
      <c r="HP530" s="10"/>
      <c r="HQ530" s="10"/>
      <c r="HR530" s="10"/>
      <c r="HS530" s="10"/>
      <c r="HT530" s="10"/>
      <c r="HU530" s="10"/>
      <c r="HV530" s="10"/>
      <c r="HW530" s="10"/>
      <c r="HX530" s="10"/>
      <c r="HY530" s="10"/>
      <c r="HZ530" s="10"/>
      <c r="IA530" s="10"/>
      <c r="IB530" s="10"/>
      <c r="IC530" s="10"/>
      <c r="ID530" s="10"/>
      <c r="IE530" s="10"/>
      <c r="IF530" s="10"/>
      <c r="IG530" s="10"/>
      <c r="IH530" s="10"/>
      <c r="II530" s="10"/>
      <c r="IJ530" s="10"/>
      <c r="IK530" s="10"/>
      <c r="IL530" s="10"/>
      <c r="IM530" s="10"/>
      <c r="IN530" s="10"/>
      <c r="IO530" s="10"/>
      <c r="IP530" s="10"/>
      <c r="IQ530" s="10"/>
      <c r="IR530" s="10"/>
      <c r="IS530" s="10"/>
      <c r="IT530" s="10"/>
      <c r="IU530" s="10"/>
      <c r="IV530" s="10"/>
      <c r="IW530" s="10"/>
    </row>
    <row r="531" spans="1:257">
      <c r="A531" s="34"/>
      <c r="B531" s="50"/>
      <c r="C531" s="24"/>
      <c r="D531" s="24"/>
      <c r="E531" s="24"/>
      <c r="F531" s="25"/>
      <c r="G531" s="25"/>
      <c r="H531" s="25"/>
      <c r="I531" s="25"/>
      <c r="J531" s="24"/>
      <c r="K531" s="25"/>
      <c r="L531" s="25"/>
      <c r="M531" s="25"/>
      <c r="N531" s="25"/>
      <c r="O531" s="25"/>
      <c r="P531" s="25"/>
      <c r="Q531" s="25"/>
      <c r="R531" s="24"/>
      <c r="S531" s="26">
        <f t="shared" si="34"/>
        <v>0</v>
      </c>
      <c r="T531" s="26">
        <f>COUNTIF($V$4:V531,V531)</f>
        <v>488</v>
      </c>
      <c r="U531" s="26" t="str">
        <f>IF(T531=1,COUNTIF($T$4:T531,1),"")</f>
        <v/>
      </c>
      <c r="V531" s="27" t="str">
        <f t="shared" si="36"/>
        <v/>
      </c>
      <c r="W531" s="27">
        <f t="shared" si="35"/>
        <v>0</v>
      </c>
      <c r="X531" s="28"/>
      <c r="Y531" s="27"/>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0"/>
      <c r="DJ531" s="10"/>
      <c r="DK531" s="10"/>
      <c r="DL531" s="10"/>
      <c r="DM531" s="10"/>
      <c r="DN531" s="10"/>
      <c r="DO531" s="10"/>
      <c r="DP531" s="10"/>
      <c r="DQ531" s="10"/>
      <c r="DR531" s="10"/>
      <c r="DS531" s="10"/>
      <c r="DT531" s="10"/>
      <c r="DU531" s="10"/>
      <c r="DV531" s="10"/>
      <c r="DW531" s="10"/>
      <c r="DX531" s="10"/>
      <c r="DY531" s="10"/>
      <c r="DZ531" s="10"/>
      <c r="EA531" s="10"/>
      <c r="EB531" s="10"/>
      <c r="EC531" s="10"/>
      <c r="ED531" s="10"/>
      <c r="EE531" s="10"/>
      <c r="EF531" s="10"/>
      <c r="EG531" s="10"/>
      <c r="EH531" s="10"/>
      <c r="EI531" s="10"/>
      <c r="EJ531" s="10"/>
      <c r="EK531" s="10"/>
      <c r="EL531" s="10"/>
      <c r="EM531" s="10"/>
      <c r="EN531" s="10"/>
      <c r="EO531" s="10"/>
      <c r="EP531" s="10"/>
      <c r="EQ531" s="10"/>
      <c r="ER531" s="10"/>
      <c r="ES531" s="10"/>
      <c r="ET531" s="10"/>
      <c r="EU531" s="10"/>
      <c r="EV531" s="10"/>
      <c r="EW531" s="10"/>
      <c r="EX531" s="10"/>
      <c r="EY531" s="10"/>
      <c r="EZ531" s="10"/>
      <c r="FA531" s="10"/>
      <c r="FB531" s="10"/>
      <c r="FC531" s="10"/>
      <c r="FD531" s="10"/>
      <c r="FE531" s="10"/>
      <c r="FF531" s="10"/>
      <c r="FG531" s="10"/>
      <c r="FH531" s="10"/>
      <c r="FI531" s="10"/>
      <c r="FJ531" s="10"/>
      <c r="FK531" s="10"/>
      <c r="FL531" s="10"/>
      <c r="FM531" s="10"/>
      <c r="FN531" s="10"/>
      <c r="FO531" s="10"/>
      <c r="FP531" s="10"/>
      <c r="FQ531" s="10"/>
      <c r="FR531" s="10"/>
      <c r="FS531" s="10"/>
      <c r="FT531" s="10"/>
      <c r="FU531" s="10"/>
      <c r="FV531" s="10"/>
      <c r="FW531" s="10"/>
      <c r="FX531" s="10"/>
      <c r="FY531" s="10"/>
      <c r="FZ531" s="10"/>
      <c r="GA531" s="10"/>
      <c r="GB531" s="10"/>
      <c r="GC531" s="10"/>
      <c r="GD531" s="10"/>
      <c r="GE531" s="10"/>
      <c r="GF531" s="10"/>
      <c r="GG531" s="10"/>
      <c r="GH531" s="10"/>
      <c r="GI531" s="10"/>
      <c r="GJ531" s="10"/>
      <c r="GK531" s="10"/>
      <c r="GL531" s="10"/>
      <c r="GM531" s="10"/>
      <c r="GN531" s="10"/>
      <c r="GO531" s="10"/>
      <c r="GP531" s="10"/>
      <c r="GQ531" s="10"/>
      <c r="GR531" s="10"/>
      <c r="GS531" s="10"/>
      <c r="GT531" s="10"/>
      <c r="GU531" s="10"/>
      <c r="GV531" s="10"/>
      <c r="GW531" s="10"/>
      <c r="GX531" s="10"/>
      <c r="GY531" s="10"/>
      <c r="GZ531" s="10"/>
      <c r="HA531" s="10"/>
      <c r="HB531" s="10"/>
      <c r="HC531" s="10"/>
      <c r="HD531" s="10"/>
      <c r="HE531" s="10"/>
      <c r="HF531" s="10"/>
      <c r="HG531" s="10"/>
      <c r="HH531" s="10"/>
      <c r="HI531" s="10"/>
      <c r="HJ531" s="10"/>
      <c r="HK531" s="10"/>
      <c r="HL531" s="10"/>
      <c r="HM531" s="10"/>
      <c r="HN531" s="10"/>
      <c r="HO531" s="10"/>
      <c r="HP531" s="10"/>
      <c r="HQ531" s="10"/>
      <c r="HR531" s="10"/>
      <c r="HS531" s="10"/>
      <c r="HT531" s="10"/>
      <c r="HU531" s="10"/>
      <c r="HV531" s="10"/>
      <c r="HW531" s="10"/>
      <c r="HX531" s="10"/>
      <c r="HY531" s="10"/>
      <c r="HZ531" s="10"/>
      <c r="IA531" s="10"/>
      <c r="IB531" s="10"/>
      <c r="IC531" s="10"/>
      <c r="ID531" s="10"/>
      <c r="IE531" s="10"/>
      <c r="IF531" s="10"/>
      <c r="IG531" s="10"/>
      <c r="IH531" s="10"/>
      <c r="II531" s="10"/>
      <c r="IJ531" s="10"/>
      <c r="IK531" s="10"/>
      <c r="IL531" s="10"/>
      <c r="IM531" s="10"/>
      <c r="IN531" s="10"/>
      <c r="IO531" s="10"/>
      <c r="IP531" s="10"/>
      <c r="IQ531" s="10"/>
      <c r="IR531" s="10"/>
      <c r="IS531" s="10"/>
      <c r="IT531" s="10"/>
      <c r="IU531" s="10"/>
      <c r="IV531" s="10"/>
      <c r="IW531" s="10"/>
    </row>
    <row r="532" spans="1:257">
      <c r="A532" s="34"/>
      <c r="B532" s="50"/>
      <c r="C532" s="24"/>
      <c r="D532" s="24"/>
      <c r="E532" s="24"/>
      <c r="F532" s="25"/>
      <c r="G532" s="25"/>
      <c r="H532" s="25"/>
      <c r="I532" s="25"/>
      <c r="J532" s="24"/>
      <c r="K532" s="25"/>
      <c r="L532" s="25"/>
      <c r="M532" s="25"/>
      <c r="N532" s="25"/>
      <c r="O532" s="25"/>
      <c r="P532" s="25"/>
      <c r="Q532" s="25"/>
      <c r="R532" s="24"/>
      <c r="S532" s="26">
        <f t="shared" si="34"/>
        <v>0</v>
      </c>
      <c r="T532" s="26">
        <f>COUNTIF($V$4:V532,V532)</f>
        <v>489</v>
      </c>
      <c r="U532" s="26" t="str">
        <f>IF(T532=1,COUNTIF($T$4:T532,1),"")</f>
        <v/>
      </c>
      <c r="V532" s="27" t="str">
        <f t="shared" si="36"/>
        <v/>
      </c>
      <c r="W532" s="27">
        <f t="shared" si="35"/>
        <v>0</v>
      </c>
      <c r="X532" s="28"/>
      <c r="Y532" s="27"/>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c r="EX532" s="10"/>
      <c r="EY532" s="10"/>
      <c r="EZ532" s="10"/>
      <c r="FA532" s="10"/>
      <c r="FB532" s="10"/>
      <c r="FC532" s="10"/>
      <c r="FD532" s="10"/>
      <c r="FE532" s="10"/>
      <c r="FF532" s="10"/>
      <c r="FG532" s="10"/>
      <c r="FH532" s="10"/>
      <c r="FI532" s="10"/>
      <c r="FJ532" s="10"/>
      <c r="FK532" s="10"/>
      <c r="FL532" s="10"/>
      <c r="FM532" s="10"/>
      <c r="FN532" s="10"/>
      <c r="FO532" s="10"/>
      <c r="FP532" s="10"/>
      <c r="FQ532" s="10"/>
      <c r="FR532" s="10"/>
      <c r="FS532" s="10"/>
      <c r="FT532" s="10"/>
      <c r="FU532" s="10"/>
      <c r="FV532" s="10"/>
      <c r="FW532" s="10"/>
      <c r="FX532" s="10"/>
      <c r="FY532" s="10"/>
      <c r="FZ532" s="10"/>
      <c r="GA532" s="10"/>
      <c r="GB532" s="10"/>
      <c r="GC532" s="10"/>
      <c r="GD532" s="10"/>
      <c r="GE532" s="10"/>
      <c r="GF532" s="10"/>
      <c r="GG532" s="10"/>
      <c r="GH532" s="10"/>
      <c r="GI532" s="10"/>
      <c r="GJ532" s="10"/>
      <c r="GK532" s="10"/>
      <c r="GL532" s="10"/>
      <c r="GM532" s="10"/>
      <c r="GN532" s="10"/>
      <c r="GO532" s="10"/>
      <c r="GP532" s="10"/>
      <c r="GQ532" s="10"/>
      <c r="GR532" s="10"/>
      <c r="GS532" s="10"/>
      <c r="GT532" s="10"/>
      <c r="GU532" s="10"/>
      <c r="GV532" s="10"/>
      <c r="GW532" s="10"/>
      <c r="GX532" s="10"/>
      <c r="GY532" s="10"/>
      <c r="GZ532" s="10"/>
      <c r="HA532" s="10"/>
      <c r="HB532" s="10"/>
      <c r="HC532" s="10"/>
      <c r="HD532" s="10"/>
      <c r="HE532" s="10"/>
      <c r="HF532" s="10"/>
      <c r="HG532" s="10"/>
      <c r="HH532" s="10"/>
      <c r="HI532" s="10"/>
      <c r="HJ532" s="10"/>
      <c r="HK532" s="10"/>
      <c r="HL532" s="10"/>
      <c r="HM532" s="10"/>
      <c r="HN532" s="10"/>
      <c r="HO532" s="10"/>
      <c r="HP532" s="10"/>
      <c r="HQ532" s="10"/>
      <c r="HR532" s="10"/>
      <c r="HS532" s="10"/>
      <c r="HT532" s="10"/>
      <c r="HU532" s="10"/>
      <c r="HV532" s="10"/>
      <c r="HW532" s="10"/>
      <c r="HX532" s="10"/>
      <c r="HY532" s="10"/>
      <c r="HZ532" s="10"/>
      <c r="IA532" s="10"/>
      <c r="IB532" s="10"/>
      <c r="IC532" s="10"/>
      <c r="ID532" s="10"/>
      <c r="IE532" s="10"/>
      <c r="IF532" s="10"/>
      <c r="IG532" s="10"/>
      <c r="IH532" s="10"/>
      <c r="II532" s="10"/>
      <c r="IJ532" s="10"/>
      <c r="IK532" s="10"/>
      <c r="IL532" s="10"/>
      <c r="IM532" s="10"/>
      <c r="IN532" s="10"/>
      <c r="IO532" s="10"/>
      <c r="IP532" s="10"/>
      <c r="IQ532" s="10"/>
      <c r="IR532" s="10"/>
      <c r="IS532" s="10"/>
      <c r="IT532" s="10"/>
      <c r="IU532" s="10"/>
      <c r="IV532" s="10"/>
      <c r="IW532" s="10"/>
    </row>
    <row r="533" spans="1:257">
      <c r="A533" s="34"/>
      <c r="B533" s="50"/>
      <c r="C533" s="24"/>
      <c r="D533" s="24"/>
      <c r="E533" s="24"/>
      <c r="F533" s="25"/>
      <c r="G533" s="25"/>
      <c r="H533" s="25"/>
      <c r="I533" s="25"/>
      <c r="J533" s="24"/>
      <c r="K533" s="25"/>
      <c r="L533" s="25"/>
      <c r="M533" s="25"/>
      <c r="N533" s="25"/>
      <c r="O533" s="25"/>
      <c r="P533" s="25"/>
      <c r="Q533" s="25"/>
      <c r="R533" s="24"/>
      <c r="S533" s="26">
        <f t="shared" si="34"/>
        <v>0</v>
      </c>
      <c r="T533" s="26">
        <f>COUNTIF($V$4:V533,V533)</f>
        <v>490</v>
      </c>
      <c r="U533" s="26" t="str">
        <f>IF(T533=1,COUNTIF($T$4:T533,1),"")</f>
        <v/>
      </c>
      <c r="V533" s="27" t="str">
        <f t="shared" si="36"/>
        <v/>
      </c>
      <c r="W533" s="27">
        <f t="shared" si="35"/>
        <v>0</v>
      </c>
      <c r="X533" s="28"/>
      <c r="Y533" s="27"/>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c r="EX533" s="10"/>
      <c r="EY533" s="10"/>
      <c r="EZ533" s="10"/>
      <c r="FA533" s="10"/>
      <c r="FB533" s="10"/>
      <c r="FC533" s="10"/>
      <c r="FD533" s="10"/>
      <c r="FE533" s="10"/>
      <c r="FF533" s="10"/>
      <c r="FG533" s="10"/>
      <c r="FH533" s="10"/>
      <c r="FI533" s="10"/>
      <c r="FJ533" s="10"/>
      <c r="FK533" s="10"/>
      <c r="FL533" s="10"/>
      <c r="FM533" s="10"/>
      <c r="FN533" s="10"/>
      <c r="FO533" s="10"/>
      <c r="FP533" s="10"/>
      <c r="FQ533" s="10"/>
      <c r="FR533" s="10"/>
      <c r="FS533" s="10"/>
      <c r="FT533" s="10"/>
      <c r="FU533" s="10"/>
      <c r="FV533" s="10"/>
      <c r="FW533" s="10"/>
      <c r="FX533" s="10"/>
      <c r="FY533" s="10"/>
      <c r="FZ533" s="10"/>
      <c r="GA533" s="10"/>
      <c r="GB533" s="10"/>
      <c r="GC533" s="10"/>
      <c r="GD533" s="10"/>
      <c r="GE533" s="10"/>
      <c r="GF533" s="10"/>
      <c r="GG533" s="10"/>
      <c r="GH533" s="10"/>
      <c r="GI533" s="10"/>
      <c r="GJ533" s="10"/>
      <c r="GK533" s="10"/>
      <c r="GL533" s="10"/>
      <c r="GM533" s="10"/>
      <c r="GN533" s="10"/>
      <c r="GO533" s="10"/>
      <c r="GP533" s="10"/>
      <c r="GQ533" s="10"/>
      <c r="GR533" s="10"/>
      <c r="GS533" s="10"/>
      <c r="GT533" s="10"/>
      <c r="GU533" s="10"/>
      <c r="GV533" s="10"/>
      <c r="GW533" s="10"/>
      <c r="GX533" s="10"/>
      <c r="GY533" s="10"/>
      <c r="GZ533" s="10"/>
      <c r="HA533" s="10"/>
      <c r="HB533" s="10"/>
      <c r="HC533" s="10"/>
      <c r="HD533" s="10"/>
      <c r="HE533" s="10"/>
      <c r="HF533" s="10"/>
      <c r="HG533" s="10"/>
      <c r="HH533" s="10"/>
      <c r="HI533" s="10"/>
      <c r="HJ533" s="10"/>
      <c r="HK533" s="10"/>
      <c r="HL533" s="10"/>
      <c r="HM533" s="10"/>
      <c r="HN533" s="10"/>
      <c r="HO533" s="10"/>
      <c r="HP533" s="10"/>
      <c r="HQ533" s="10"/>
      <c r="HR533" s="10"/>
      <c r="HS533" s="10"/>
      <c r="HT533" s="10"/>
      <c r="HU533" s="10"/>
      <c r="HV533" s="10"/>
      <c r="HW533" s="10"/>
      <c r="HX533" s="10"/>
      <c r="HY533" s="10"/>
      <c r="HZ533" s="10"/>
      <c r="IA533" s="10"/>
      <c r="IB533" s="10"/>
      <c r="IC533" s="10"/>
      <c r="ID533" s="10"/>
      <c r="IE533" s="10"/>
      <c r="IF533" s="10"/>
      <c r="IG533" s="10"/>
      <c r="IH533" s="10"/>
      <c r="II533" s="10"/>
      <c r="IJ533" s="10"/>
      <c r="IK533" s="10"/>
      <c r="IL533" s="10"/>
      <c r="IM533" s="10"/>
      <c r="IN533" s="10"/>
      <c r="IO533" s="10"/>
      <c r="IP533" s="10"/>
      <c r="IQ533" s="10"/>
      <c r="IR533" s="10"/>
      <c r="IS533" s="10"/>
      <c r="IT533" s="10"/>
      <c r="IU533" s="10"/>
      <c r="IV533" s="10"/>
      <c r="IW533" s="10"/>
    </row>
    <row r="534" spans="1:257">
      <c r="A534" s="34"/>
      <c r="B534" s="50"/>
      <c r="C534" s="24"/>
      <c r="D534" s="24"/>
      <c r="E534" s="24"/>
      <c r="F534" s="25"/>
      <c r="G534" s="25"/>
      <c r="H534" s="25"/>
      <c r="I534" s="25"/>
      <c r="J534" s="24"/>
      <c r="K534" s="25"/>
      <c r="L534" s="25"/>
      <c r="M534" s="25"/>
      <c r="N534" s="25"/>
      <c r="O534" s="25"/>
      <c r="P534" s="25"/>
      <c r="Q534" s="25"/>
      <c r="R534" s="24"/>
      <c r="S534" s="26">
        <f t="shared" si="34"/>
        <v>0</v>
      </c>
      <c r="T534" s="26">
        <f>COUNTIF($V$4:V534,V534)</f>
        <v>491</v>
      </c>
      <c r="U534" s="26" t="str">
        <f>IF(T534=1,COUNTIF($T$4:T534,1),"")</f>
        <v/>
      </c>
      <c r="V534" s="27" t="str">
        <f t="shared" si="36"/>
        <v/>
      </c>
      <c r="W534" s="27">
        <f t="shared" si="35"/>
        <v>0</v>
      </c>
      <c r="X534" s="28"/>
      <c r="Y534" s="27"/>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c r="EX534" s="10"/>
      <c r="EY534" s="10"/>
      <c r="EZ534" s="10"/>
      <c r="FA534" s="10"/>
      <c r="FB534" s="10"/>
      <c r="FC534" s="10"/>
      <c r="FD534" s="10"/>
      <c r="FE534" s="10"/>
      <c r="FF534" s="10"/>
      <c r="FG534" s="10"/>
      <c r="FH534" s="10"/>
      <c r="FI534" s="10"/>
      <c r="FJ534" s="10"/>
      <c r="FK534" s="10"/>
      <c r="FL534" s="10"/>
      <c r="FM534" s="10"/>
      <c r="FN534" s="10"/>
      <c r="FO534" s="10"/>
      <c r="FP534" s="10"/>
      <c r="FQ534" s="10"/>
      <c r="FR534" s="10"/>
      <c r="FS534" s="10"/>
      <c r="FT534" s="10"/>
      <c r="FU534" s="10"/>
      <c r="FV534" s="10"/>
      <c r="FW534" s="10"/>
      <c r="FX534" s="10"/>
      <c r="FY534" s="10"/>
      <c r="FZ534" s="10"/>
      <c r="GA534" s="10"/>
      <c r="GB534" s="10"/>
      <c r="GC534" s="10"/>
      <c r="GD534" s="10"/>
      <c r="GE534" s="10"/>
      <c r="GF534" s="10"/>
      <c r="GG534" s="10"/>
      <c r="GH534" s="10"/>
      <c r="GI534" s="10"/>
      <c r="GJ534" s="10"/>
      <c r="GK534" s="10"/>
      <c r="GL534" s="10"/>
      <c r="GM534" s="10"/>
      <c r="GN534" s="10"/>
      <c r="GO534" s="10"/>
      <c r="GP534" s="10"/>
      <c r="GQ534" s="10"/>
      <c r="GR534" s="10"/>
      <c r="GS534" s="10"/>
      <c r="GT534" s="10"/>
      <c r="GU534" s="10"/>
      <c r="GV534" s="10"/>
      <c r="GW534" s="10"/>
      <c r="GX534" s="10"/>
      <c r="GY534" s="10"/>
      <c r="GZ534" s="10"/>
      <c r="HA534" s="10"/>
      <c r="HB534" s="10"/>
      <c r="HC534" s="10"/>
      <c r="HD534" s="10"/>
      <c r="HE534" s="10"/>
      <c r="HF534" s="10"/>
      <c r="HG534" s="10"/>
      <c r="HH534" s="10"/>
      <c r="HI534" s="10"/>
      <c r="HJ534" s="10"/>
      <c r="HK534" s="10"/>
      <c r="HL534" s="10"/>
      <c r="HM534" s="10"/>
      <c r="HN534" s="10"/>
      <c r="HO534" s="10"/>
      <c r="HP534" s="10"/>
      <c r="HQ534" s="10"/>
      <c r="HR534" s="10"/>
      <c r="HS534" s="10"/>
      <c r="HT534" s="10"/>
      <c r="HU534" s="10"/>
      <c r="HV534" s="10"/>
      <c r="HW534" s="10"/>
      <c r="HX534" s="10"/>
      <c r="HY534" s="10"/>
      <c r="HZ534" s="10"/>
      <c r="IA534" s="10"/>
      <c r="IB534" s="10"/>
      <c r="IC534" s="10"/>
      <c r="ID534" s="10"/>
      <c r="IE534" s="10"/>
      <c r="IF534" s="10"/>
      <c r="IG534" s="10"/>
      <c r="IH534" s="10"/>
      <c r="II534" s="10"/>
      <c r="IJ534" s="10"/>
      <c r="IK534" s="10"/>
      <c r="IL534" s="10"/>
      <c r="IM534" s="10"/>
      <c r="IN534" s="10"/>
      <c r="IO534" s="10"/>
      <c r="IP534" s="10"/>
      <c r="IQ534" s="10"/>
      <c r="IR534" s="10"/>
      <c r="IS534" s="10"/>
      <c r="IT534" s="10"/>
      <c r="IU534" s="10"/>
      <c r="IV534" s="10"/>
      <c r="IW534" s="10"/>
    </row>
    <row r="535" spans="1:257">
      <c r="A535" s="34"/>
      <c r="B535" s="50"/>
      <c r="C535" s="24"/>
      <c r="D535" s="24"/>
      <c r="E535" s="24"/>
      <c r="F535" s="25"/>
      <c r="G535" s="25"/>
      <c r="H535" s="25"/>
      <c r="I535" s="25"/>
      <c r="J535" s="24"/>
      <c r="K535" s="25"/>
      <c r="L535" s="25"/>
      <c r="M535" s="25"/>
      <c r="N535" s="25"/>
      <c r="O535" s="25"/>
      <c r="P535" s="25"/>
      <c r="Q535" s="25"/>
      <c r="R535" s="24"/>
      <c r="S535" s="26">
        <f t="shared" si="34"/>
        <v>0</v>
      </c>
      <c r="T535" s="26">
        <f>COUNTIF($V$4:V535,V535)</f>
        <v>492</v>
      </c>
      <c r="U535" s="26" t="str">
        <f>IF(T535=1,COUNTIF($T$4:T535,1),"")</f>
        <v/>
      </c>
      <c r="V535" s="27" t="str">
        <f t="shared" si="36"/>
        <v/>
      </c>
      <c r="W535" s="27">
        <f t="shared" si="35"/>
        <v>0</v>
      </c>
      <c r="X535" s="28"/>
      <c r="Y535" s="27"/>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c r="EO535" s="10"/>
      <c r="EP535" s="10"/>
      <c r="EQ535" s="10"/>
      <c r="ER535" s="10"/>
      <c r="ES535" s="10"/>
      <c r="ET535" s="10"/>
      <c r="EU535" s="10"/>
      <c r="EV535" s="10"/>
      <c r="EW535" s="10"/>
      <c r="EX535" s="10"/>
      <c r="EY535" s="10"/>
      <c r="EZ535" s="10"/>
      <c r="FA535" s="10"/>
      <c r="FB535" s="10"/>
      <c r="FC535" s="10"/>
      <c r="FD535" s="10"/>
      <c r="FE535" s="10"/>
      <c r="FF535" s="10"/>
      <c r="FG535" s="10"/>
      <c r="FH535" s="10"/>
      <c r="FI535" s="10"/>
      <c r="FJ535" s="10"/>
      <c r="FK535" s="10"/>
      <c r="FL535" s="10"/>
      <c r="FM535" s="10"/>
      <c r="FN535" s="10"/>
      <c r="FO535" s="10"/>
      <c r="FP535" s="10"/>
      <c r="FQ535" s="10"/>
      <c r="FR535" s="10"/>
      <c r="FS535" s="10"/>
      <c r="FT535" s="10"/>
      <c r="FU535" s="10"/>
      <c r="FV535" s="10"/>
      <c r="FW535" s="10"/>
      <c r="FX535" s="10"/>
      <c r="FY535" s="10"/>
      <c r="FZ535" s="10"/>
      <c r="GA535" s="10"/>
      <c r="GB535" s="10"/>
      <c r="GC535" s="10"/>
      <c r="GD535" s="10"/>
      <c r="GE535" s="10"/>
      <c r="GF535" s="10"/>
      <c r="GG535" s="10"/>
      <c r="GH535" s="10"/>
      <c r="GI535" s="10"/>
      <c r="GJ535" s="10"/>
      <c r="GK535" s="10"/>
      <c r="GL535" s="10"/>
      <c r="GM535" s="10"/>
      <c r="GN535" s="10"/>
      <c r="GO535" s="10"/>
      <c r="GP535" s="10"/>
      <c r="GQ535" s="10"/>
      <c r="GR535" s="10"/>
      <c r="GS535" s="10"/>
      <c r="GT535" s="10"/>
      <c r="GU535" s="10"/>
      <c r="GV535" s="10"/>
      <c r="GW535" s="10"/>
      <c r="GX535" s="10"/>
      <c r="GY535" s="10"/>
      <c r="GZ535" s="10"/>
      <c r="HA535" s="10"/>
      <c r="HB535" s="10"/>
      <c r="HC535" s="10"/>
      <c r="HD535" s="10"/>
      <c r="HE535" s="10"/>
      <c r="HF535" s="10"/>
      <c r="HG535" s="10"/>
      <c r="HH535" s="10"/>
      <c r="HI535" s="10"/>
      <c r="HJ535" s="10"/>
      <c r="HK535" s="10"/>
      <c r="HL535" s="10"/>
      <c r="HM535" s="10"/>
      <c r="HN535" s="10"/>
      <c r="HO535" s="10"/>
      <c r="HP535" s="10"/>
      <c r="HQ535" s="10"/>
      <c r="HR535" s="10"/>
      <c r="HS535" s="10"/>
      <c r="HT535" s="10"/>
      <c r="HU535" s="10"/>
      <c r="HV535" s="10"/>
      <c r="HW535" s="10"/>
      <c r="HX535" s="10"/>
      <c r="HY535" s="10"/>
      <c r="HZ535" s="10"/>
      <c r="IA535" s="10"/>
      <c r="IB535" s="10"/>
      <c r="IC535" s="10"/>
      <c r="ID535" s="10"/>
      <c r="IE535" s="10"/>
      <c r="IF535" s="10"/>
      <c r="IG535" s="10"/>
      <c r="IH535" s="10"/>
      <c r="II535" s="10"/>
      <c r="IJ535" s="10"/>
      <c r="IK535" s="10"/>
      <c r="IL535" s="10"/>
      <c r="IM535" s="10"/>
      <c r="IN535" s="10"/>
      <c r="IO535" s="10"/>
      <c r="IP535" s="10"/>
      <c r="IQ535" s="10"/>
      <c r="IR535" s="10"/>
      <c r="IS535" s="10"/>
      <c r="IT535" s="10"/>
      <c r="IU535" s="10"/>
      <c r="IV535" s="10"/>
      <c r="IW535" s="10"/>
    </row>
    <row r="536" spans="1:257">
      <c r="A536" s="34"/>
      <c r="B536" s="50"/>
      <c r="C536" s="24"/>
      <c r="D536" s="24"/>
      <c r="E536" s="24"/>
      <c r="F536" s="25"/>
      <c r="G536" s="25"/>
      <c r="H536" s="25"/>
      <c r="I536" s="25"/>
      <c r="J536" s="24"/>
      <c r="K536" s="25"/>
      <c r="L536" s="25"/>
      <c r="M536" s="25"/>
      <c r="N536" s="25"/>
      <c r="O536" s="25"/>
      <c r="P536" s="25"/>
      <c r="Q536" s="25"/>
      <c r="R536" s="24"/>
      <c r="S536" s="26">
        <f t="shared" si="34"/>
        <v>0</v>
      </c>
      <c r="T536" s="26">
        <f>COUNTIF($V$4:V536,V536)</f>
        <v>493</v>
      </c>
      <c r="U536" s="26" t="str">
        <f>IF(T536=1,COUNTIF($T$4:T536,1),"")</f>
        <v/>
      </c>
      <c r="V536" s="27" t="str">
        <f t="shared" si="36"/>
        <v/>
      </c>
      <c r="W536" s="27">
        <f t="shared" si="35"/>
        <v>0</v>
      </c>
      <c r="X536" s="28"/>
      <c r="Y536" s="27"/>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c r="EO536" s="10"/>
      <c r="EP536" s="10"/>
      <c r="EQ536" s="10"/>
      <c r="ER536" s="10"/>
      <c r="ES536" s="10"/>
      <c r="ET536" s="10"/>
      <c r="EU536" s="10"/>
      <c r="EV536" s="10"/>
      <c r="EW536" s="10"/>
      <c r="EX536" s="10"/>
      <c r="EY536" s="10"/>
      <c r="EZ536" s="10"/>
      <c r="FA536" s="10"/>
      <c r="FB536" s="10"/>
      <c r="FC536" s="10"/>
      <c r="FD536" s="10"/>
      <c r="FE536" s="10"/>
      <c r="FF536" s="10"/>
      <c r="FG536" s="10"/>
      <c r="FH536" s="10"/>
      <c r="FI536" s="10"/>
      <c r="FJ536" s="10"/>
      <c r="FK536" s="10"/>
      <c r="FL536" s="10"/>
      <c r="FM536" s="10"/>
      <c r="FN536" s="10"/>
      <c r="FO536" s="10"/>
      <c r="FP536" s="10"/>
      <c r="FQ536" s="10"/>
      <c r="FR536" s="10"/>
      <c r="FS536" s="10"/>
      <c r="FT536" s="10"/>
      <c r="FU536" s="10"/>
      <c r="FV536" s="10"/>
      <c r="FW536" s="10"/>
      <c r="FX536" s="10"/>
      <c r="FY536" s="10"/>
      <c r="FZ536" s="10"/>
      <c r="GA536" s="10"/>
      <c r="GB536" s="10"/>
      <c r="GC536" s="10"/>
      <c r="GD536" s="10"/>
      <c r="GE536" s="10"/>
      <c r="GF536" s="10"/>
      <c r="GG536" s="10"/>
      <c r="GH536" s="10"/>
      <c r="GI536" s="10"/>
      <c r="GJ536" s="10"/>
      <c r="GK536" s="10"/>
      <c r="GL536" s="10"/>
      <c r="GM536" s="10"/>
      <c r="GN536" s="10"/>
      <c r="GO536" s="10"/>
      <c r="GP536" s="10"/>
      <c r="GQ536" s="10"/>
      <c r="GR536" s="10"/>
      <c r="GS536" s="10"/>
      <c r="GT536" s="10"/>
      <c r="GU536" s="10"/>
      <c r="GV536" s="10"/>
      <c r="GW536" s="10"/>
      <c r="GX536" s="10"/>
      <c r="GY536" s="10"/>
      <c r="GZ536" s="10"/>
      <c r="HA536" s="10"/>
      <c r="HB536" s="10"/>
      <c r="HC536" s="10"/>
      <c r="HD536" s="10"/>
      <c r="HE536" s="10"/>
      <c r="HF536" s="10"/>
      <c r="HG536" s="10"/>
      <c r="HH536" s="10"/>
      <c r="HI536" s="10"/>
      <c r="HJ536" s="10"/>
      <c r="HK536" s="10"/>
      <c r="HL536" s="10"/>
      <c r="HM536" s="10"/>
      <c r="HN536" s="10"/>
      <c r="HO536" s="10"/>
      <c r="HP536" s="10"/>
      <c r="HQ536" s="10"/>
      <c r="HR536" s="10"/>
      <c r="HS536" s="10"/>
      <c r="HT536" s="10"/>
      <c r="HU536" s="10"/>
      <c r="HV536" s="10"/>
      <c r="HW536" s="10"/>
      <c r="HX536" s="10"/>
      <c r="HY536" s="10"/>
      <c r="HZ536" s="10"/>
      <c r="IA536" s="10"/>
      <c r="IB536" s="10"/>
      <c r="IC536" s="10"/>
      <c r="ID536" s="10"/>
      <c r="IE536" s="10"/>
      <c r="IF536" s="10"/>
      <c r="IG536" s="10"/>
      <c r="IH536" s="10"/>
      <c r="II536" s="10"/>
      <c r="IJ536" s="10"/>
      <c r="IK536" s="10"/>
      <c r="IL536" s="10"/>
      <c r="IM536" s="10"/>
      <c r="IN536" s="10"/>
      <c r="IO536" s="10"/>
      <c r="IP536" s="10"/>
      <c r="IQ536" s="10"/>
      <c r="IR536" s="10"/>
      <c r="IS536" s="10"/>
      <c r="IT536" s="10"/>
      <c r="IU536" s="10"/>
      <c r="IV536" s="10"/>
      <c r="IW536" s="10"/>
    </row>
    <row r="537" spans="1:257">
      <c r="A537" s="34"/>
      <c r="B537" s="50"/>
      <c r="C537" s="24"/>
      <c r="D537" s="24"/>
      <c r="E537" s="24"/>
      <c r="F537" s="25"/>
      <c r="G537" s="25"/>
      <c r="H537" s="25"/>
      <c r="I537" s="25"/>
      <c r="J537" s="24"/>
      <c r="K537" s="25"/>
      <c r="L537" s="25"/>
      <c r="M537" s="25"/>
      <c r="N537" s="25"/>
      <c r="O537" s="25"/>
      <c r="P537" s="25"/>
      <c r="Q537" s="25"/>
      <c r="R537" s="24"/>
      <c r="S537" s="26">
        <f t="shared" si="34"/>
        <v>0</v>
      </c>
      <c r="T537" s="26">
        <f>COUNTIF($V$4:V537,V537)</f>
        <v>494</v>
      </c>
      <c r="U537" s="26" t="str">
        <f>IF(T537=1,COUNTIF($T$4:T537,1),"")</f>
        <v/>
      </c>
      <c r="V537" s="27" t="str">
        <f t="shared" si="36"/>
        <v/>
      </c>
      <c r="W537" s="27">
        <f t="shared" si="35"/>
        <v>0</v>
      </c>
      <c r="X537" s="28"/>
      <c r="Y537" s="27"/>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0"/>
      <c r="DJ537" s="10"/>
      <c r="DK537" s="10"/>
      <c r="DL537" s="10"/>
      <c r="DM537" s="10"/>
      <c r="DN537" s="10"/>
      <c r="DO537" s="10"/>
      <c r="DP537" s="10"/>
      <c r="DQ537" s="10"/>
      <c r="DR537" s="10"/>
      <c r="DS537" s="10"/>
      <c r="DT537" s="10"/>
      <c r="DU537" s="10"/>
      <c r="DV537" s="10"/>
      <c r="DW537" s="10"/>
      <c r="DX537" s="10"/>
      <c r="DY537" s="10"/>
      <c r="DZ537" s="10"/>
      <c r="EA537" s="10"/>
      <c r="EB537" s="10"/>
      <c r="EC537" s="10"/>
      <c r="ED537" s="10"/>
      <c r="EE537" s="10"/>
      <c r="EF537" s="10"/>
      <c r="EG537" s="10"/>
      <c r="EH537" s="10"/>
      <c r="EI537" s="10"/>
      <c r="EJ537" s="10"/>
      <c r="EK537" s="10"/>
      <c r="EL537" s="10"/>
      <c r="EM537" s="10"/>
      <c r="EN537" s="10"/>
      <c r="EO537" s="10"/>
      <c r="EP537" s="10"/>
      <c r="EQ537" s="10"/>
      <c r="ER537" s="10"/>
      <c r="ES537" s="10"/>
      <c r="ET537" s="10"/>
      <c r="EU537" s="10"/>
      <c r="EV537" s="10"/>
      <c r="EW537" s="10"/>
      <c r="EX537" s="10"/>
      <c r="EY537" s="10"/>
      <c r="EZ537" s="10"/>
      <c r="FA537" s="10"/>
      <c r="FB537" s="10"/>
      <c r="FC537" s="10"/>
      <c r="FD537" s="10"/>
      <c r="FE537" s="10"/>
      <c r="FF537" s="10"/>
      <c r="FG537" s="10"/>
      <c r="FH537" s="10"/>
      <c r="FI537" s="10"/>
      <c r="FJ537" s="10"/>
      <c r="FK537" s="10"/>
      <c r="FL537" s="10"/>
      <c r="FM537" s="10"/>
      <c r="FN537" s="10"/>
      <c r="FO537" s="10"/>
      <c r="FP537" s="10"/>
      <c r="FQ537" s="10"/>
      <c r="FR537" s="10"/>
      <c r="FS537" s="10"/>
      <c r="FT537" s="10"/>
      <c r="FU537" s="10"/>
      <c r="FV537" s="10"/>
      <c r="FW537" s="10"/>
      <c r="FX537" s="10"/>
      <c r="FY537" s="10"/>
      <c r="FZ537" s="10"/>
      <c r="GA537" s="10"/>
      <c r="GB537" s="10"/>
      <c r="GC537" s="10"/>
      <c r="GD537" s="10"/>
      <c r="GE537" s="10"/>
      <c r="GF537" s="10"/>
      <c r="GG537" s="10"/>
      <c r="GH537" s="10"/>
      <c r="GI537" s="10"/>
      <c r="GJ537" s="10"/>
      <c r="GK537" s="10"/>
      <c r="GL537" s="10"/>
      <c r="GM537" s="10"/>
      <c r="GN537" s="10"/>
      <c r="GO537" s="10"/>
      <c r="GP537" s="10"/>
      <c r="GQ537" s="10"/>
      <c r="GR537" s="10"/>
      <c r="GS537" s="10"/>
      <c r="GT537" s="10"/>
      <c r="GU537" s="10"/>
      <c r="GV537" s="10"/>
      <c r="GW537" s="10"/>
      <c r="GX537" s="10"/>
      <c r="GY537" s="10"/>
      <c r="GZ537" s="10"/>
      <c r="HA537" s="10"/>
      <c r="HB537" s="10"/>
      <c r="HC537" s="10"/>
      <c r="HD537" s="10"/>
      <c r="HE537" s="10"/>
      <c r="HF537" s="10"/>
      <c r="HG537" s="10"/>
      <c r="HH537" s="10"/>
      <c r="HI537" s="10"/>
      <c r="HJ537" s="10"/>
      <c r="HK537" s="10"/>
      <c r="HL537" s="10"/>
      <c r="HM537" s="10"/>
      <c r="HN537" s="10"/>
      <c r="HO537" s="10"/>
      <c r="HP537" s="10"/>
      <c r="HQ537" s="10"/>
      <c r="HR537" s="10"/>
      <c r="HS537" s="10"/>
      <c r="HT537" s="10"/>
      <c r="HU537" s="10"/>
      <c r="HV537" s="10"/>
      <c r="HW537" s="10"/>
      <c r="HX537" s="10"/>
      <c r="HY537" s="10"/>
      <c r="HZ537" s="10"/>
      <c r="IA537" s="10"/>
      <c r="IB537" s="10"/>
      <c r="IC537" s="10"/>
      <c r="ID537" s="10"/>
      <c r="IE537" s="10"/>
      <c r="IF537" s="10"/>
      <c r="IG537" s="10"/>
      <c r="IH537" s="10"/>
      <c r="II537" s="10"/>
      <c r="IJ537" s="10"/>
      <c r="IK537" s="10"/>
      <c r="IL537" s="10"/>
      <c r="IM537" s="10"/>
      <c r="IN537" s="10"/>
      <c r="IO537" s="10"/>
      <c r="IP537" s="10"/>
      <c r="IQ537" s="10"/>
      <c r="IR537" s="10"/>
      <c r="IS537" s="10"/>
      <c r="IT537" s="10"/>
      <c r="IU537" s="10"/>
      <c r="IV537" s="10"/>
      <c r="IW537" s="10"/>
    </row>
    <row r="538" spans="1:257">
      <c r="A538" s="34"/>
      <c r="B538" s="50"/>
      <c r="C538" s="24"/>
      <c r="D538" s="24"/>
      <c r="E538" s="24"/>
      <c r="F538" s="25"/>
      <c r="G538" s="25"/>
      <c r="H538" s="25"/>
      <c r="I538" s="25"/>
      <c r="J538" s="24"/>
      <c r="K538" s="25"/>
      <c r="L538" s="25"/>
      <c r="M538" s="25"/>
      <c r="N538" s="25"/>
      <c r="O538" s="25"/>
      <c r="P538" s="25"/>
      <c r="Q538" s="25"/>
      <c r="R538" s="24"/>
      <c r="S538" s="26">
        <f t="shared" si="34"/>
        <v>0</v>
      </c>
      <c r="T538" s="26">
        <f>COUNTIF($V$4:V538,V538)</f>
        <v>495</v>
      </c>
      <c r="U538" s="26" t="str">
        <f>IF(T538=1,COUNTIF($T$4:T538,1),"")</f>
        <v/>
      </c>
      <c r="V538" s="27" t="str">
        <f t="shared" si="36"/>
        <v/>
      </c>
      <c r="W538" s="27">
        <f t="shared" si="35"/>
        <v>0</v>
      </c>
      <c r="X538" s="28"/>
      <c r="Y538" s="27"/>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c r="EO538" s="10"/>
      <c r="EP538" s="10"/>
      <c r="EQ538" s="10"/>
      <c r="ER538" s="10"/>
      <c r="ES538" s="10"/>
      <c r="ET538" s="10"/>
      <c r="EU538" s="10"/>
      <c r="EV538" s="10"/>
      <c r="EW538" s="10"/>
      <c r="EX538" s="10"/>
      <c r="EY538" s="10"/>
      <c r="EZ538" s="10"/>
      <c r="FA538" s="10"/>
      <c r="FB538" s="10"/>
      <c r="FC538" s="10"/>
      <c r="FD538" s="10"/>
      <c r="FE538" s="10"/>
      <c r="FF538" s="10"/>
      <c r="FG538" s="10"/>
      <c r="FH538" s="10"/>
      <c r="FI538" s="10"/>
      <c r="FJ538" s="10"/>
      <c r="FK538" s="10"/>
      <c r="FL538" s="10"/>
      <c r="FM538" s="10"/>
      <c r="FN538" s="10"/>
      <c r="FO538" s="10"/>
      <c r="FP538" s="10"/>
      <c r="FQ538" s="10"/>
      <c r="FR538" s="10"/>
      <c r="FS538" s="10"/>
      <c r="FT538" s="10"/>
      <c r="FU538" s="10"/>
      <c r="FV538" s="10"/>
      <c r="FW538" s="10"/>
      <c r="FX538" s="10"/>
      <c r="FY538" s="10"/>
      <c r="FZ538" s="10"/>
      <c r="GA538" s="10"/>
      <c r="GB538" s="10"/>
      <c r="GC538" s="10"/>
      <c r="GD538" s="10"/>
      <c r="GE538" s="10"/>
      <c r="GF538" s="10"/>
      <c r="GG538" s="10"/>
      <c r="GH538" s="10"/>
      <c r="GI538" s="10"/>
      <c r="GJ538" s="10"/>
      <c r="GK538" s="10"/>
      <c r="GL538" s="10"/>
      <c r="GM538" s="10"/>
      <c r="GN538" s="10"/>
      <c r="GO538" s="10"/>
      <c r="GP538" s="10"/>
      <c r="GQ538" s="10"/>
      <c r="GR538" s="10"/>
      <c r="GS538" s="10"/>
      <c r="GT538" s="10"/>
      <c r="GU538" s="10"/>
      <c r="GV538" s="10"/>
      <c r="GW538" s="10"/>
      <c r="GX538" s="10"/>
      <c r="GY538" s="10"/>
      <c r="GZ538" s="10"/>
      <c r="HA538" s="10"/>
      <c r="HB538" s="10"/>
      <c r="HC538" s="10"/>
      <c r="HD538" s="10"/>
      <c r="HE538" s="10"/>
      <c r="HF538" s="10"/>
      <c r="HG538" s="10"/>
      <c r="HH538" s="10"/>
      <c r="HI538" s="10"/>
      <c r="HJ538" s="10"/>
      <c r="HK538" s="10"/>
      <c r="HL538" s="10"/>
      <c r="HM538" s="10"/>
      <c r="HN538" s="10"/>
      <c r="HO538" s="10"/>
      <c r="HP538" s="10"/>
      <c r="HQ538" s="10"/>
      <c r="HR538" s="10"/>
      <c r="HS538" s="10"/>
      <c r="HT538" s="10"/>
      <c r="HU538" s="10"/>
      <c r="HV538" s="10"/>
      <c r="HW538" s="10"/>
      <c r="HX538" s="10"/>
      <c r="HY538" s="10"/>
      <c r="HZ538" s="10"/>
      <c r="IA538" s="10"/>
      <c r="IB538" s="10"/>
      <c r="IC538" s="10"/>
      <c r="ID538" s="10"/>
      <c r="IE538" s="10"/>
      <c r="IF538" s="10"/>
      <c r="IG538" s="10"/>
      <c r="IH538" s="10"/>
      <c r="II538" s="10"/>
      <c r="IJ538" s="10"/>
      <c r="IK538" s="10"/>
      <c r="IL538" s="10"/>
      <c r="IM538" s="10"/>
      <c r="IN538" s="10"/>
      <c r="IO538" s="10"/>
      <c r="IP538" s="10"/>
      <c r="IQ538" s="10"/>
      <c r="IR538" s="10"/>
      <c r="IS538" s="10"/>
      <c r="IT538" s="10"/>
      <c r="IU538" s="10"/>
      <c r="IV538" s="10"/>
      <c r="IW538" s="10"/>
    </row>
    <row r="539" spans="1:257">
      <c r="A539" s="34"/>
      <c r="B539" s="50"/>
      <c r="C539" s="24"/>
      <c r="D539" s="24"/>
      <c r="E539" s="24"/>
      <c r="F539" s="25"/>
      <c r="G539" s="25"/>
      <c r="H539" s="25"/>
      <c r="I539" s="25"/>
      <c r="J539" s="24"/>
      <c r="K539" s="25"/>
      <c r="L539" s="25"/>
      <c r="M539" s="25"/>
      <c r="N539" s="25"/>
      <c r="O539" s="25"/>
      <c r="P539" s="25"/>
      <c r="Q539" s="25"/>
      <c r="R539" s="24"/>
      <c r="S539" s="26">
        <f t="shared" si="34"/>
        <v>0</v>
      </c>
      <c r="T539" s="26">
        <f>COUNTIF($V$4:V539,V539)</f>
        <v>496</v>
      </c>
      <c r="U539" s="26" t="str">
        <f>IF(T539=1,COUNTIF($T$4:T539,1),"")</f>
        <v/>
      </c>
      <c r="V539" s="27" t="str">
        <f t="shared" si="36"/>
        <v/>
      </c>
      <c r="W539" s="27">
        <f t="shared" si="35"/>
        <v>0</v>
      </c>
      <c r="X539" s="28"/>
      <c r="Y539" s="27"/>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c r="EO539" s="10"/>
      <c r="EP539" s="10"/>
      <c r="EQ539" s="10"/>
      <c r="ER539" s="10"/>
      <c r="ES539" s="10"/>
      <c r="ET539" s="10"/>
      <c r="EU539" s="10"/>
      <c r="EV539" s="10"/>
      <c r="EW539" s="10"/>
      <c r="EX539" s="10"/>
      <c r="EY539" s="10"/>
      <c r="EZ539" s="10"/>
      <c r="FA539" s="10"/>
      <c r="FB539" s="10"/>
      <c r="FC539" s="10"/>
      <c r="FD539" s="10"/>
      <c r="FE539" s="10"/>
      <c r="FF539" s="10"/>
      <c r="FG539" s="10"/>
      <c r="FH539" s="10"/>
      <c r="FI539" s="10"/>
      <c r="FJ539" s="10"/>
      <c r="FK539" s="10"/>
      <c r="FL539" s="10"/>
      <c r="FM539" s="10"/>
      <c r="FN539" s="10"/>
      <c r="FO539" s="10"/>
      <c r="FP539" s="10"/>
      <c r="FQ539" s="10"/>
      <c r="FR539" s="10"/>
      <c r="FS539" s="10"/>
      <c r="FT539" s="10"/>
      <c r="FU539" s="10"/>
      <c r="FV539" s="10"/>
      <c r="FW539" s="10"/>
      <c r="FX539" s="10"/>
      <c r="FY539" s="10"/>
      <c r="FZ539" s="10"/>
      <c r="GA539" s="10"/>
      <c r="GB539" s="10"/>
      <c r="GC539" s="10"/>
      <c r="GD539" s="10"/>
      <c r="GE539" s="10"/>
      <c r="GF539" s="10"/>
      <c r="GG539" s="10"/>
      <c r="GH539" s="10"/>
      <c r="GI539" s="10"/>
      <c r="GJ539" s="10"/>
      <c r="GK539" s="10"/>
      <c r="GL539" s="10"/>
      <c r="GM539" s="10"/>
      <c r="GN539" s="10"/>
      <c r="GO539" s="10"/>
      <c r="GP539" s="10"/>
      <c r="GQ539" s="10"/>
      <c r="GR539" s="10"/>
      <c r="GS539" s="10"/>
      <c r="GT539" s="10"/>
      <c r="GU539" s="10"/>
      <c r="GV539" s="10"/>
      <c r="GW539" s="10"/>
      <c r="GX539" s="10"/>
      <c r="GY539" s="10"/>
      <c r="GZ539" s="10"/>
      <c r="HA539" s="10"/>
      <c r="HB539" s="10"/>
      <c r="HC539" s="10"/>
      <c r="HD539" s="10"/>
      <c r="HE539" s="10"/>
      <c r="HF539" s="10"/>
      <c r="HG539" s="10"/>
      <c r="HH539" s="10"/>
      <c r="HI539" s="10"/>
      <c r="HJ539" s="10"/>
      <c r="HK539" s="10"/>
      <c r="HL539" s="10"/>
      <c r="HM539" s="10"/>
      <c r="HN539" s="10"/>
      <c r="HO539" s="10"/>
      <c r="HP539" s="10"/>
      <c r="HQ539" s="10"/>
      <c r="HR539" s="10"/>
      <c r="HS539" s="10"/>
      <c r="HT539" s="10"/>
      <c r="HU539" s="10"/>
      <c r="HV539" s="10"/>
      <c r="HW539" s="10"/>
      <c r="HX539" s="10"/>
      <c r="HY539" s="10"/>
      <c r="HZ539" s="10"/>
      <c r="IA539" s="10"/>
      <c r="IB539" s="10"/>
      <c r="IC539" s="10"/>
      <c r="ID539" s="10"/>
      <c r="IE539" s="10"/>
      <c r="IF539" s="10"/>
      <c r="IG539" s="10"/>
      <c r="IH539" s="10"/>
      <c r="II539" s="10"/>
      <c r="IJ539" s="10"/>
      <c r="IK539" s="10"/>
      <c r="IL539" s="10"/>
      <c r="IM539" s="10"/>
      <c r="IN539" s="10"/>
      <c r="IO539" s="10"/>
      <c r="IP539" s="10"/>
      <c r="IQ539" s="10"/>
      <c r="IR539" s="10"/>
      <c r="IS539" s="10"/>
      <c r="IT539" s="10"/>
      <c r="IU539" s="10"/>
      <c r="IV539" s="10"/>
      <c r="IW539" s="10"/>
    </row>
    <row r="540" spans="1:257">
      <c r="A540" s="34"/>
      <c r="B540" s="50"/>
      <c r="C540" s="24"/>
      <c r="D540" s="24"/>
      <c r="E540" s="24"/>
      <c r="F540" s="25"/>
      <c r="G540" s="25"/>
      <c r="H540" s="25"/>
      <c r="I540" s="25"/>
      <c r="J540" s="24"/>
      <c r="K540" s="25"/>
      <c r="L540" s="25"/>
      <c r="M540" s="25"/>
      <c r="N540" s="25"/>
      <c r="O540" s="25"/>
      <c r="P540" s="25"/>
      <c r="Q540" s="25"/>
      <c r="R540" s="24"/>
      <c r="S540" s="26">
        <f t="shared" si="34"/>
        <v>0</v>
      </c>
      <c r="T540" s="26">
        <f>COUNTIF($V$4:V540,V540)</f>
        <v>497</v>
      </c>
      <c r="U540" s="26" t="str">
        <f>IF(T540=1,COUNTIF($T$4:T540,1),"")</f>
        <v/>
      </c>
      <c r="V540" s="27" t="str">
        <f t="shared" si="36"/>
        <v/>
      </c>
      <c r="W540" s="27">
        <f t="shared" si="35"/>
        <v>0</v>
      </c>
      <c r="X540" s="28"/>
      <c r="Y540" s="27"/>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c r="EO540" s="10"/>
      <c r="EP540" s="10"/>
      <c r="EQ540" s="10"/>
      <c r="ER540" s="10"/>
      <c r="ES540" s="10"/>
      <c r="ET540" s="10"/>
      <c r="EU540" s="10"/>
      <c r="EV540" s="10"/>
      <c r="EW540" s="10"/>
      <c r="EX540" s="10"/>
      <c r="EY540" s="10"/>
      <c r="EZ540" s="10"/>
      <c r="FA540" s="10"/>
      <c r="FB540" s="10"/>
      <c r="FC540" s="10"/>
      <c r="FD540" s="10"/>
      <c r="FE540" s="10"/>
      <c r="FF540" s="10"/>
      <c r="FG540" s="10"/>
      <c r="FH540" s="10"/>
      <c r="FI540" s="10"/>
      <c r="FJ540" s="10"/>
      <c r="FK540" s="10"/>
      <c r="FL540" s="10"/>
      <c r="FM540" s="10"/>
      <c r="FN540" s="10"/>
      <c r="FO540" s="10"/>
      <c r="FP540" s="10"/>
      <c r="FQ540" s="10"/>
      <c r="FR540" s="10"/>
      <c r="FS540" s="10"/>
      <c r="FT540" s="10"/>
      <c r="FU540" s="10"/>
      <c r="FV540" s="10"/>
      <c r="FW540" s="10"/>
      <c r="FX540" s="10"/>
      <c r="FY540" s="10"/>
      <c r="FZ540" s="10"/>
      <c r="GA540" s="10"/>
      <c r="GB540" s="10"/>
      <c r="GC540" s="10"/>
      <c r="GD540" s="10"/>
      <c r="GE540" s="10"/>
      <c r="GF540" s="10"/>
      <c r="GG540" s="10"/>
      <c r="GH540" s="10"/>
      <c r="GI540" s="10"/>
      <c r="GJ540" s="10"/>
      <c r="GK540" s="10"/>
      <c r="GL540" s="10"/>
      <c r="GM540" s="10"/>
      <c r="GN540" s="10"/>
      <c r="GO540" s="10"/>
      <c r="GP540" s="10"/>
      <c r="GQ540" s="10"/>
      <c r="GR540" s="10"/>
      <c r="GS540" s="10"/>
      <c r="GT540" s="10"/>
      <c r="GU540" s="10"/>
      <c r="GV540" s="10"/>
      <c r="GW540" s="10"/>
      <c r="GX540" s="10"/>
      <c r="GY540" s="10"/>
      <c r="GZ540" s="10"/>
      <c r="HA540" s="10"/>
      <c r="HB540" s="10"/>
      <c r="HC540" s="10"/>
      <c r="HD540" s="10"/>
      <c r="HE540" s="10"/>
      <c r="HF540" s="10"/>
      <c r="HG540" s="10"/>
      <c r="HH540" s="10"/>
      <c r="HI540" s="10"/>
      <c r="HJ540" s="10"/>
      <c r="HK540" s="10"/>
      <c r="HL540" s="10"/>
      <c r="HM540" s="10"/>
      <c r="HN540" s="10"/>
      <c r="HO540" s="10"/>
      <c r="HP540" s="10"/>
      <c r="HQ540" s="10"/>
      <c r="HR540" s="10"/>
      <c r="HS540" s="10"/>
      <c r="HT540" s="10"/>
      <c r="HU540" s="10"/>
      <c r="HV540" s="10"/>
      <c r="HW540" s="10"/>
      <c r="HX540" s="10"/>
      <c r="HY540" s="10"/>
      <c r="HZ540" s="10"/>
      <c r="IA540" s="10"/>
      <c r="IB540" s="10"/>
      <c r="IC540" s="10"/>
      <c r="ID540" s="10"/>
      <c r="IE540" s="10"/>
      <c r="IF540" s="10"/>
      <c r="IG540" s="10"/>
      <c r="IH540" s="10"/>
      <c r="II540" s="10"/>
      <c r="IJ540" s="10"/>
      <c r="IK540" s="10"/>
      <c r="IL540" s="10"/>
      <c r="IM540" s="10"/>
      <c r="IN540" s="10"/>
      <c r="IO540" s="10"/>
      <c r="IP540" s="10"/>
      <c r="IQ540" s="10"/>
      <c r="IR540" s="10"/>
      <c r="IS540" s="10"/>
      <c r="IT540" s="10"/>
      <c r="IU540" s="10"/>
      <c r="IV540" s="10"/>
      <c r="IW540" s="10"/>
    </row>
    <row r="541" spans="1:257">
      <c r="A541" s="34"/>
      <c r="B541" s="50"/>
      <c r="C541" s="24"/>
      <c r="D541" s="24"/>
      <c r="E541" s="24"/>
      <c r="F541" s="25"/>
      <c r="G541" s="25"/>
      <c r="H541" s="25"/>
      <c r="I541" s="25"/>
      <c r="J541" s="24"/>
      <c r="K541" s="25"/>
      <c r="L541" s="25"/>
      <c r="M541" s="25"/>
      <c r="N541" s="25"/>
      <c r="O541" s="25"/>
      <c r="P541" s="25"/>
      <c r="Q541" s="25"/>
      <c r="R541" s="24"/>
      <c r="S541" s="26">
        <f t="shared" si="34"/>
        <v>0</v>
      </c>
      <c r="T541" s="26">
        <f>COUNTIF($V$4:V541,V541)</f>
        <v>498</v>
      </c>
      <c r="U541" s="26" t="str">
        <f>IF(T541=1,COUNTIF($T$4:T541,1),"")</f>
        <v/>
      </c>
      <c r="V541" s="27" t="str">
        <f t="shared" si="36"/>
        <v/>
      </c>
      <c r="W541" s="27">
        <f t="shared" si="35"/>
        <v>0</v>
      </c>
      <c r="X541" s="28"/>
      <c r="Y541" s="27"/>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c r="EO541" s="10"/>
      <c r="EP541" s="10"/>
      <c r="EQ541" s="10"/>
      <c r="ER541" s="10"/>
      <c r="ES541" s="10"/>
      <c r="ET541" s="10"/>
      <c r="EU541" s="10"/>
      <c r="EV541" s="10"/>
      <c r="EW541" s="10"/>
      <c r="EX541" s="10"/>
      <c r="EY541" s="10"/>
      <c r="EZ541" s="10"/>
      <c r="FA541" s="10"/>
      <c r="FB541" s="10"/>
      <c r="FC541" s="10"/>
      <c r="FD541" s="10"/>
      <c r="FE541" s="10"/>
      <c r="FF541" s="10"/>
      <c r="FG541" s="10"/>
      <c r="FH541" s="10"/>
      <c r="FI541" s="10"/>
      <c r="FJ541" s="10"/>
      <c r="FK541" s="10"/>
      <c r="FL541" s="10"/>
      <c r="FM541" s="10"/>
      <c r="FN541" s="10"/>
      <c r="FO541" s="10"/>
      <c r="FP541" s="10"/>
      <c r="FQ541" s="10"/>
      <c r="FR541" s="10"/>
      <c r="FS541" s="10"/>
      <c r="FT541" s="10"/>
      <c r="FU541" s="10"/>
      <c r="FV541" s="10"/>
      <c r="FW541" s="10"/>
      <c r="FX541" s="10"/>
      <c r="FY541" s="10"/>
      <c r="FZ541" s="10"/>
      <c r="GA541" s="10"/>
      <c r="GB541" s="10"/>
      <c r="GC541" s="10"/>
      <c r="GD541" s="10"/>
      <c r="GE541" s="10"/>
      <c r="GF541" s="10"/>
      <c r="GG541" s="10"/>
      <c r="GH541" s="10"/>
      <c r="GI541" s="10"/>
      <c r="GJ541" s="10"/>
      <c r="GK541" s="10"/>
      <c r="GL541" s="10"/>
      <c r="GM541" s="10"/>
      <c r="GN541" s="10"/>
      <c r="GO541" s="10"/>
      <c r="GP541" s="10"/>
      <c r="GQ541" s="10"/>
      <c r="GR541" s="10"/>
      <c r="GS541" s="10"/>
      <c r="GT541" s="10"/>
      <c r="GU541" s="10"/>
      <c r="GV541" s="10"/>
      <c r="GW541" s="10"/>
      <c r="GX541" s="10"/>
      <c r="GY541" s="10"/>
      <c r="GZ541" s="10"/>
      <c r="HA541" s="10"/>
      <c r="HB541" s="10"/>
      <c r="HC541" s="10"/>
      <c r="HD541" s="10"/>
      <c r="HE541" s="10"/>
      <c r="HF541" s="10"/>
      <c r="HG541" s="10"/>
      <c r="HH541" s="10"/>
      <c r="HI541" s="10"/>
      <c r="HJ541" s="10"/>
      <c r="HK541" s="10"/>
      <c r="HL541" s="10"/>
      <c r="HM541" s="10"/>
      <c r="HN541" s="10"/>
      <c r="HO541" s="10"/>
      <c r="HP541" s="10"/>
      <c r="HQ541" s="10"/>
      <c r="HR541" s="10"/>
      <c r="HS541" s="10"/>
      <c r="HT541" s="10"/>
      <c r="HU541" s="10"/>
      <c r="HV541" s="10"/>
      <c r="HW541" s="10"/>
      <c r="HX541" s="10"/>
      <c r="HY541" s="10"/>
      <c r="HZ541" s="10"/>
      <c r="IA541" s="10"/>
      <c r="IB541" s="10"/>
      <c r="IC541" s="10"/>
      <c r="ID541" s="10"/>
      <c r="IE541" s="10"/>
      <c r="IF541" s="10"/>
      <c r="IG541" s="10"/>
      <c r="IH541" s="10"/>
      <c r="II541" s="10"/>
      <c r="IJ541" s="10"/>
      <c r="IK541" s="10"/>
      <c r="IL541" s="10"/>
      <c r="IM541" s="10"/>
      <c r="IN541" s="10"/>
      <c r="IO541" s="10"/>
      <c r="IP541" s="10"/>
      <c r="IQ541" s="10"/>
      <c r="IR541" s="10"/>
      <c r="IS541" s="10"/>
      <c r="IT541" s="10"/>
      <c r="IU541" s="10"/>
      <c r="IV541" s="10"/>
      <c r="IW541" s="10"/>
    </row>
    <row r="542" spans="1:257">
      <c r="A542" s="34"/>
      <c r="B542" s="50"/>
      <c r="C542" s="24"/>
      <c r="D542" s="24"/>
      <c r="E542" s="24"/>
      <c r="F542" s="25"/>
      <c r="G542" s="25"/>
      <c r="H542" s="25"/>
      <c r="I542" s="25"/>
      <c r="J542" s="24"/>
      <c r="K542" s="25"/>
      <c r="L542" s="25"/>
      <c r="M542" s="25"/>
      <c r="N542" s="25"/>
      <c r="O542" s="25"/>
      <c r="P542" s="25"/>
      <c r="Q542" s="25"/>
      <c r="R542" s="24"/>
      <c r="S542" s="26">
        <f t="shared" si="34"/>
        <v>0</v>
      </c>
      <c r="T542" s="26">
        <f>COUNTIF($V$4:V542,V542)</f>
        <v>499</v>
      </c>
      <c r="U542" s="26" t="str">
        <f>IF(T542=1,COUNTIF($T$4:T542,1),"")</f>
        <v/>
      </c>
      <c r="V542" s="27" t="str">
        <f t="shared" si="36"/>
        <v/>
      </c>
      <c r="W542" s="27">
        <f t="shared" si="35"/>
        <v>0</v>
      </c>
      <c r="X542" s="28"/>
      <c r="Y542" s="27"/>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c r="EO542" s="10"/>
      <c r="EP542" s="10"/>
      <c r="EQ542" s="10"/>
      <c r="ER542" s="10"/>
      <c r="ES542" s="10"/>
      <c r="ET542" s="10"/>
      <c r="EU542" s="10"/>
      <c r="EV542" s="10"/>
      <c r="EW542" s="10"/>
      <c r="EX542" s="10"/>
      <c r="EY542" s="10"/>
      <c r="EZ542" s="10"/>
      <c r="FA542" s="10"/>
      <c r="FB542" s="10"/>
      <c r="FC542" s="10"/>
      <c r="FD542" s="10"/>
      <c r="FE542" s="10"/>
      <c r="FF542" s="10"/>
      <c r="FG542" s="10"/>
      <c r="FH542" s="10"/>
      <c r="FI542" s="10"/>
      <c r="FJ542" s="10"/>
      <c r="FK542" s="10"/>
      <c r="FL542" s="10"/>
      <c r="FM542" s="10"/>
      <c r="FN542" s="10"/>
      <c r="FO542" s="10"/>
      <c r="FP542" s="10"/>
      <c r="FQ542" s="10"/>
      <c r="FR542" s="10"/>
      <c r="FS542" s="10"/>
      <c r="FT542" s="10"/>
      <c r="FU542" s="10"/>
      <c r="FV542" s="10"/>
      <c r="FW542" s="10"/>
      <c r="FX542" s="10"/>
      <c r="FY542" s="10"/>
      <c r="FZ542" s="10"/>
      <c r="GA542" s="10"/>
      <c r="GB542" s="10"/>
      <c r="GC542" s="10"/>
      <c r="GD542" s="10"/>
      <c r="GE542" s="10"/>
      <c r="GF542" s="10"/>
      <c r="GG542" s="10"/>
      <c r="GH542" s="10"/>
      <c r="GI542" s="10"/>
      <c r="GJ542" s="10"/>
      <c r="GK542" s="10"/>
      <c r="GL542" s="10"/>
      <c r="GM542" s="10"/>
      <c r="GN542" s="10"/>
      <c r="GO542" s="10"/>
      <c r="GP542" s="10"/>
      <c r="GQ542" s="10"/>
      <c r="GR542" s="10"/>
      <c r="GS542" s="10"/>
      <c r="GT542" s="10"/>
      <c r="GU542" s="10"/>
      <c r="GV542" s="10"/>
      <c r="GW542" s="10"/>
      <c r="GX542" s="10"/>
      <c r="GY542" s="10"/>
      <c r="GZ542" s="10"/>
      <c r="HA542" s="10"/>
      <c r="HB542" s="10"/>
      <c r="HC542" s="10"/>
      <c r="HD542" s="10"/>
      <c r="HE542" s="10"/>
      <c r="HF542" s="10"/>
      <c r="HG542" s="10"/>
      <c r="HH542" s="10"/>
      <c r="HI542" s="10"/>
      <c r="HJ542" s="10"/>
      <c r="HK542" s="10"/>
      <c r="HL542" s="10"/>
      <c r="HM542" s="10"/>
      <c r="HN542" s="10"/>
      <c r="HO542" s="10"/>
      <c r="HP542" s="10"/>
      <c r="HQ542" s="10"/>
      <c r="HR542" s="10"/>
      <c r="HS542" s="10"/>
      <c r="HT542" s="10"/>
      <c r="HU542" s="10"/>
      <c r="HV542" s="10"/>
      <c r="HW542" s="10"/>
      <c r="HX542" s="10"/>
      <c r="HY542" s="10"/>
      <c r="HZ542" s="10"/>
      <c r="IA542" s="10"/>
      <c r="IB542" s="10"/>
      <c r="IC542" s="10"/>
      <c r="ID542" s="10"/>
      <c r="IE542" s="10"/>
      <c r="IF542" s="10"/>
      <c r="IG542" s="10"/>
      <c r="IH542" s="10"/>
      <c r="II542" s="10"/>
      <c r="IJ542" s="10"/>
      <c r="IK542" s="10"/>
      <c r="IL542" s="10"/>
      <c r="IM542" s="10"/>
      <c r="IN542" s="10"/>
      <c r="IO542" s="10"/>
      <c r="IP542" s="10"/>
      <c r="IQ542" s="10"/>
      <c r="IR542" s="10"/>
      <c r="IS542" s="10"/>
      <c r="IT542" s="10"/>
      <c r="IU542" s="10"/>
      <c r="IV542" s="10"/>
      <c r="IW542" s="10"/>
    </row>
    <row r="543" spans="1:257">
      <c r="A543" s="34"/>
      <c r="B543" s="50"/>
      <c r="C543" s="24"/>
      <c r="D543" s="24"/>
      <c r="E543" s="24"/>
      <c r="F543" s="25"/>
      <c r="G543" s="25"/>
      <c r="H543" s="25"/>
      <c r="I543" s="25"/>
      <c r="J543" s="24"/>
      <c r="K543" s="25"/>
      <c r="L543" s="25"/>
      <c r="M543" s="25"/>
      <c r="N543" s="25"/>
      <c r="O543" s="25"/>
      <c r="P543" s="25"/>
      <c r="Q543" s="25"/>
      <c r="R543" s="24"/>
      <c r="S543" s="26">
        <f t="shared" si="34"/>
        <v>0</v>
      </c>
      <c r="T543" s="26">
        <f>COUNTIF($V$4:V543,V543)</f>
        <v>500</v>
      </c>
      <c r="U543" s="26" t="str">
        <f>IF(T543=1,COUNTIF($T$4:T543,1),"")</f>
        <v/>
      </c>
      <c r="V543" s="27" t="str">
        <f t="shared" si="36"/>
        <v/>
      </c>
      <c r="W543" s="27">
        <f t="shared" si="35"/>
        <v>0</v>
      </c>
      <c r="X543" s="28"/>
      <c r="Y543" s="27"/>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0"/>
      <c r="DJ543" s="10"/>
      <c r="DK543" s="10"/>
      <c r="DL543" s="10"/>
      <c r="DM543" s="10"/>
      <c r="DN543" s="10"/>
      <c r="DO543" s="10"/>
      <c r="DP543" s="10"/>
      <c r="DQ543" s="10"/>
      <c r="DR543" s="10"/>
      <c r="DS543" s="10"/>
      <c r="DT543" s="10"/>
      <c r="DU543" s="10"/>
      <c r="DV543" s="10"/>
      <c r="DW543" s="10"/>
      <c r="DX543" s="10"/>
      <c r="DY543" s="10"/>
      <c r="DZ543" s="10"/>
      <c r="EA543" s="10"/>
      <c r="EB543" s="10"/>
      <c r="EC543" s="10"/>
      <c r="ED543" s="10"/>
      <c r="EE543" s="10"/>
      <c r="EF543" s="10"/>
      <c r="EG543" s="10"/>
      <c r="EH543" s="10"/>
      <c r="EI543" s="10"/>
      <c r="EJ543" s="10"/>
      <c r="EK543" s="10"/>
      <c r="EL543" s="10"/>
      <c r="EM543" s="10"/>
      <c r="EN543" s="10"/>
      <c r="EO543" s="10"/>
      <c r="EP543" s="10"/>
      <c r="EQ543" s="10"/>
      <c r="ER543" s="10"/>
      <c r="ES543" s="10"/>
      <c r="ET543" s="10"/>
      <c r="EU543" s="10"/>
      <c r="EV543" s="10"/>
      <c r="EW543" s="10"/>
      <c r="EX543" s="10"/>
      <c r="EY543" s="10"/>
      <c r="EZ543" s="10"/>
      <c r="FA543" s="10"/>
      <c r="FB543" s="10"/>
      <c r="FC543" s="10"/>
      <c r="FD543" s="10"/>
      <c r="FE543" s="10"/>
      <c r="FF543" s="10"/>
      <c r="FG543" s="10"/>
      <c r="FH543" s="10"/>
      <c r="FI543" s="10"/>
      <c r="FJ543" s="10"/>
      <c r="FK543" s="10"/>
      <c r="FL543" s="10"/>
      <c r="FM543" s="10"/>
      <c r="FN543" s="10"/>
      <c r="FO543" s="10"/>
      <c r="FP543" s="10"/>
      <c r="FQ543" s="10"/>
      <c r="FR543" s="10"/>
      <c r="FS543" s="10"/>
      <c r="FT543" s="10"/>
      <c r="FU543" s="10"/>
      <c r="FV543" s="10"/>
      <c r="FW543" s="10"/>
      <c r="FX543" s="10"/>
      <c r="FY543" s="10"/>
      <c r="FZ543" s="10"/>
      <c r="GA543" s="10"/>
      <c r="GB543" s="10"/>
      <c r="GC543" s="10"/>
      <c r="GD543" s="10"/>
      <c r="GE543" s="10"/>
      <c r="GF543" s="10"/>
      <c r="GG543" s="10"/>
      <c r="GH543" s="10"/>
      <c r="GI543" s="10"/>
      <c r="GJ543" s="10"/>
      <c r="GK543" s="10"/>
      <c r="GL543" s="10"/>
      <c r="GM543" s="10"/>
      <c r="GN543" s="10"/>
      <c r="GO543" s="10"/>
      <c r="GP543" s="10"/>
      <c r="GQ543" s="10"/>
      <c r="GR543" s="10"/>
      <c r="GS543" s="10"/>
      <c r="GT543" s="10"/>
      <c r="GU543" s="10"/>
      <c r="GV543" s="10"/>
      <c r="GW543" s="10"/>
      <c r="GX543" s="10"/>
      <c r="GY543" s="10"/>
      <c r="GZ543" s="10"/>
      <c r="HA543" s="10"/>
      <c r="HB543" s="10"/>
      <c r="HC543" s="10"/>
      <c r="HD543" s="10"/>
      <c r="HE543" s="10"/>
      <c r="HF543" s="10"/>
      <c r="HG543" s="10"/>
      <c r="HH543" s="10"/>
      <c r="HI543" s="10"/>
      <c r="HJ543" s="10"/>
      <c r="HK543" s="10"/>
      <c r="HL543" s="10"/>
      <c r="HM543" s="10"/>
      <c r="HN543" s="10"/>
      <c r="HO543" s="10"/>
      <c r="HP543" s="10"/>
      <c r="HQ543" s="10"/>
      <c r="HR543" s="10"/>
      <c r="HS543" s="10"/>
      <c r="HT543" s="10"/>
      <c r="HU543" s="10"/>
      <c r="HV543" s="10"/>
      <c r="HW543" s="10"/>
      <c r="HX543" s="10"/>
      <c r="HY543" s="10"/>
      <c r="HZ543" s="10"/>
      <c r="IA543" s="10"/>
      <c r="IB543" s="10"/>
      <c r="IC543" s="10"/>
      <c r="ID543" s="10"/>
      <c r="IE543" s="10"/>
      <c r="IF543" s="10"/>
      <c r="IG543" s="10"/>
      <c r="IH543" s="10"/>
      <c r="II543" s="10"/>
      <c r="IJ543" s="10"/>
      <c r="IK543" s="10"/>
      <c r="IL543" s="10"/>
      <c r="IM543" s="10"/>
      <c r="IN543" s="10"/>
      <c r="IO543" s="10"/>
      <c r="IP543" s="10"/>
      <c r="IQ543" s="10"/>
      <c r="IR543" s="10"/>
      <c r="IS543" s="10"/>
      <c r="IT543" s="10"/>
      <c r="IU543" s="10"/>
      <c r="IV543" s="10"/>
      <c r="IW543" s="10"/>
    </row>
    <row r="544" spans="1:257">
      <c r="A544" s="34"/>
      <c r="B544" s="50"/>
      <c r="C544" s="24"/>
      <c r="D544" s="24"/>
      <c r="E544" s="24"/>
      <c r="F544" s="25"/>
      <c r="G544" s="25"/>
      <c r="H544" s="25"/>
      <c r="I544" s="25"/>
      <c r="J544" s="24"/>
      <c r="K544" s="25"/>
      <c r="L544" s="25"/>
      <c r="M544" s="25"/>
      <c r="N544" s="25"/>
      <c r="O544" s="25"/>
      <c r="P544" s="25"/>
      <c r="Q544" s="25"/>
      <c r="R544" s="24"/>
      <c r="S544" s="26">
        <f t="shared" si="34"/>
        <v>0</v>
      </c>
      <c r="T544" s="26">
        <f>COUNTIF($V$4:V544,V544)</f>
        <v>501</v>
      </c>
      <c r="U544" s="26" t="str">
        <f>IF(T544=1,COUNTIF($T$4:T544,1),"")</f>
        <v/>
      </c>
      <c r="V544" s="27" t="str">
        <f t="shared" si="36"/>
        <v/>
      </c>
      <c r="W544" s="27">
        <f t="shared" si="35"/>
        <v>0</v>
      </c>
      <c r="X544" s="28"/>
      <c r="Y544" s="27"/>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0"/>
      <c r="DJ544" s="10"/>
      <c r="DK544" s="10"/>
      <c r="DL544" s="10"/>
      <c r="DM544" s="10"/>
      <c r="DN544" s="10"/>
      <c r="DO544" s="10"/>
      <c r="DP544" s="10"/>
      <c r="DQ544" s="10"/>
      <c r="DR544" s="10"/>
      <c r="DS544" s="10"/>
      <c r="DT544" s="10"/>
      <c r="DU544" s="10"/>
      <c r="DV544" s="10"/>
      <c r="DW544" s="10"/>
      <c r="DX544" s="10"/>
      <c r="DY544" s="10"/>
      <c r="DZ544" s="10"/>
      <c r="EA544" s="10"/>
      <c r="EB544" s="10"/>
      <c r="EC544" s="10"/>
      <c r="ED544" s="10"/>
      <c r="EE544" s="10"/>
      <c r="EF544" s="10"/>
      <c r="EG544" s="10"/>
      <c r="EH544" s="10"/>
      <c r="EI544" s="10"/>
      <c r="EJ544" s="10"/>
      <c r="EK544" s="10"/>
      <c r="EL544" s="10"/>
      <c r="EM544" s="10"/>
      <c r="EN544" s="10"/>
      <c r="EO544" s="10"/>
      <c r="EP544" s="10"/>
      <c r="EQ544" s="10"/>
      <c r="ER544" s="10"/>
      <c r="ES544" s="10"/>
      <c r="ET544" s="10"/>
      <c r="EU544" s="10"/>
      <c r="EV544" s="10"/>
      <c r="EW544" s="10"/>
      <c r="EX544" s="10"/>
      <c r="EY544" s="10"/>
      <c r="EZ544" s="10"/>
      <c r="FA544" s="10"/>
      <c r="FB544" s="10"/>
      <c r="FC544" s="10"/>
      <c r="FD544" s="10"/>
      <c r="FE544" s="10"/>
      <c r="FF544" s="10"/>
      <c r="FG544" s="10"/>
      <c r="FH544" s="10"/>
      <c r="FI544" s="10"/>
      <c r="FJ544" s="10"/>
      <c r="FK544" s="10"/>
      <c r="FL544" s="10"/>
      <c r="FM544" s="10"/>
      <c r="FN544" s="10"/>
      <c r="FO544" s="10"/>
      <c r="FP544" s="10"/>
      <c r="FQ544" s="10"/>
      <c r="FR544" s="10"/>
      <c r="FS544" s="10"/>
      <c r="FT544" s="10"/>
      <c r="FU544" s="10"/>
      <c r="FV544" s="10"/>
      <c r="FW544" s="10"/>
      <c r="FX544" s="10"/>
      <c r="FY544" s="10"/>
      <c r="FZ544" s="10"/>
      <c r="GA544" s="10"/>
      <c r="GB544" s="10"/>
      <c r="GC544" s="10"/>
      <c r="GD544" s="10"/>
      <c r="GE544" s="10"/>
      <c r="GF544" s="10"/>
      <c r="GG544" s="10"/>
      <c r="GH544" s="10"/>
      <c r="GI544" s="10"/>
      <c r="GJ544" s="10"/>
      <c r="GK544" s="10"/>
      <c r="GL544" s="10"/>
      <c r="GM544" s="10"/>
      <c r="GN544" s="10"/>
      <c r="GO544" s="10"/>
      <c r="GP544" s="10"/>
      <c r="GQ544" s="10"/>
      <c r="GR544" s="10"/>
      <c r="GS544" s="10"/>
      <c r="GT544" s="10"/>
      <c r="GU544" s="10"/>
      <c r="GV544" s="10"/>
      <c r="GW544" s="10"/>
      <c r="GX544" s="10"/>
      <c r="GY544" s="10"/>
      <c r="GZ544" s="10"/>
      <c r="HA544" s="10"/>
      <c r="HB544" s="10"/>
      <c r="HC544" s="10"/>
      <c r="HD544" s="10"/>
      <c r="HE544" s="10"/>
      <c r="HF544" s="10"/>
      <c r="HG544" s="10"/>
      <c r="HH544" s="10"/>
      <c r="HI544" s="10"/>
      <c r="HJ544" s="10"/>
      <c r="HK544" s="10"/>
      <c r="HL544" s="10"/>
      <c r="HM544" s="10"/>
      <c r="HN544" s="10"/>
      <c r="HO544" s="10"/>
      <c r="HP544" s="10"/>
      <c r="HQ544" s="10"/>
      <c r="HR544" s="10"/>
      <c r="HS544" s="10"/>
      <c r="HT544" s="10"/>
      <c r="HU544" s="10"/>
      <c r="HV544" s="10"/>
      <c r="HW544" s="10"/>
      <c r="HX544" s="10"/>
      <c r="HY544" s="10"/>
      <c r="HZ544" s="10"/>
      <c r="IA544" s="10"/>
      <c r="IB544" s="10"/>
      <c r="IC544" s="10"/>
      <c r="ID544" s="10"/>
      <c r="IE544" s="10"/>
      <c r="IF544" s="10"/>
      <c r="IG544" s="10"/>
      <c r="IH544" s="10"/>
      <c r="II544" s="10"/>
      <c r="IJ544" s="10"/>
      <c r="IK544" s="10"/>
      <c r="IL544" s="10"/>
      <c r="IM544" s="10"/>
      <c r="IN544" s="10"/>
      <c r="IO544" s="10"/>
      <c r="IP544" s="10"/>
      <c r="IQ544" s="10"/>
      <c r="IR544" s="10"/>
      <c r="IS544" s="10"/>
      <c r="IT544" s="10"/>
      <c r="IU544" s="10"/>
      <c r="IV544" s="10"/>
      <c r="IW544" s="10"/>
    </row>
    <row r="545" spans="1:257">
      <c r="A545" s="34"/>
      <c r="B545" s="50"/>
      <c r="C545" s="24"/>
      <c r="D545" s="24"/>
      <c r="E545" s="24"/>
      <c r="F545" s="25"/>
      <c r="G545" s="25"/>
      <c r="H545" s="25"/>
      <c r="I545" s="25"/>
      <c r="J545" s="24"/>
      <c r="K545" s="25"/>
      <c r="L545" s="25"/>
      <c r="M545" s="25"/>
      <c r="N545" s="25"/>
      <c r="O545" s="25"/>
      <c r="P545" s="25"/>
      <c r="Q545" s="25"/>
      <c r="R545" s="24"/>
      <c r="S545" s="26">
        <f t="shared" si="34"/>
        <v>0</v>
      </c>
      <c r="T545" s="26">
        <f>COUNTIF($V$4:V545,V545)</f>
        <v>502</v>
      </c>
      <c r="U545" s="26" t="str">
        <f>IF(T545=1,COUNTIF($T$4:T545,1),"")</f>
        <v/>
      </c>
      <c r="V545" s="27" t="str">
        <f t="shared" si="36"/>
        <v/>
      </c>
      <c r="W545" s="27">
        <f t="shared" si="35"/>
        <v>0</v>
      </c>
      <c r="X545" s="28"/>
      <c r="Y545" s="27"/>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0"/>
      <c r="DJ545" s="10"/>
      <c r="DK545" s="10"/>
      <c r="DL545" s="10"/>
      <c r="DM545" s="10"/>
      <c r="DN545" s="10"/>
      <c r="DO545" s="10"/>
      <c r="DP545" s="10"/>
      <c r="DQ545" s="10"/>
      <c r="DR545" s="10"/>
      <c r="DS545" s="10"/>
      <c r="DT545" s="10"/>
      <c r="DU545" s="10"/>
      <c r="DV545" s="10"/>
      <c r="DW545" s="10"/>
      <c r="DX545" s="10"/>
      <c r="DY545" s="10"/>
      <c r="DZ545" s="10"/>
      <c r="EA545" s="10"/>
      <c r="EB545" s="10"/>
      <c r="EC545" s="10"/>
      <c r="ED545" s="10"/>
      <c r="EE545" s="10"/>
      <c r="EF545" s="10"/>
      <c r="EG545" s="10"/>
      <c r="EH545" s="10"/>
      <c r="EI545" s="10"/>
      <c r="EJ545" s="10"/>
      <c r="EK545" s="10"/>
      <c r="EL545" s="10"/>
      <c r="EM545" s="10"/>
      <c r="EN545" s="10"/>
      <c r="EO545" s="10"/>
      <c r="EP545" s="10"/>
      <c r="EQ545" s="10"/>
      <c r="ER545" s="10"/>
      <c r="ES545" s="10"/>
      <c r="ET545" s="10"/>
      <c r="EU545" s="10"/>
      <c r="EV545" s="10"/>
      <c r="EW545" s="10"/>
      <c r="EX545" s="10"/>
      <c r="EY545" s="10"/>
      <c r="EZ545" s="10"/>
      <c r="FA545" s="10"/>
      <c r="FB545" s="10"/>
      <c r="FC545" s="10"/>
      <c r="FD545" s="10"/>
      <c r="FE545" s="10"/>
      <c r="FF545" s="10"/>
      <c r="FG545" s="10"/>
      <c r="FH545" s="10"/>
      <c r="FI545" s="10"/>
      <c r="FJ545" s="10"/>
      <c r="FK545" s="10"/>
      <c r="FL545" s="10"/>
      <c r="FM545" s="10"/>
      <c r="FN545" s="10"/>
      <c r="FO545" s="10"/>
      <c r="FP545" s="10"/>
      <c r="FQ545" s="10"/>
      <c r="FR545" s="10"/>
      <c r="FS545" s="10"/>
      <c r="FT545" s="10"/>
      <c r="FU545" s="10"/>
      <c r="FV545" s="10"/>
      <c r="FW545" s="10"/>
      <c r="FX545" s="10"/>
      <c r="FY545" s="10"/>
      <c r="FZ545" s="10"/>
      <c r="GA545" s="10"/>
      <c r="GB545" s="10"/>
      <c r="GC545" s="10"/>
      <c r="GD545" s="10"/>
      <c r="GE545" s="10"/>
      <c r="GF545" s="10"/>
      <c r="GG545" s="10"/>
      <c r="GH545" s="10"/>
      <c r="GI545" s="10"/>
      <c r="GJ545" s="10"/>
      <c r="GK545" s="10"/>
      <c r="GL545" s="10"/>
      <c r="GM545" s="10"/>
      <c r="GN545" s="10"/>
      <c r="GO545" s="10"/>
      <c r="GP545" s="10"/>
      <c r="GQ545" s="10"/>
      <c r="GR545" s="10"/>
      <c r="GS545" s="10"/>
      <c r="GT545" s="10"/>
      <c r="GU545" s="10"/>
      <c r="GV545" s="10"/>
      <c r="GW545" s="10"/>
      <c r="GX545" s="10"/>
      <c r="GY545" s="10"/>
      <c r="GZ545" s="10"/>
      <c r="HA545" s="10"/>
      <c r="HB545" s="10"/>
      <c r="HC545" s="10"/>
      <c r="HD545" s="10"/>
      <c r="HE545" s="10"/>
      <c r="HF545" s="10"/>
      <c r="HG545" s="10"/>
      <c r="HH545" s="10"/>
      <c r="HI545" s="10"/>
      <c r="HJ545" s="10"/>
      <c r="HK545" s="10"/>
      <c r="HL545" s="10"/>
      <c r="HM545" s="10"/>
      <c r="HN545" s="10"/>
      <c r="HO545" s="10"/>
      <c r="HP545" s="10"/>
      <c r="HQ545" s="10"/>
      <c r="HR545" s="10"/>
      <c r="HS545" s="10"/>
      <c r="HT545" s="10"/>
      <c r="HU545" s="10"/>
      <c r="HV545" s="10"/>
      <c r="HW545" s="10"/>
      <c r="HX545" s="10"/>
      <c r="HY545" s="10"/>
      <c r="HZ545" s="10"/>
      <c r="IA545" s="10"/>
      <c r="IB545" s="10"/>
      <c r="IC545" s="10"/>
      <c r="ID545" s="10"/>
      <c r="IE545" s="10"/>
      <c r="IF545" s="10"/>
      <c r="IG545" s="10"/>
      <c r="IH545" s="10"/>
      <c r="II545" s="10"/>
      <c r="IJ545" s="10"/>
      <c r="IK545" s="10"/>
      <c r="IL545" s="10"/>
      <c r="IM545" s="10"/>
      <c r="IN545" s="10"/>
      <c r="IO545" s="10"/>
      <c r="IP545" s="10"/>
      <c r="IQ545" s="10"/>
      <c r="IR545" s="10"/>
      <c r="IS545" s="10"/>
      <c r="IT545" s="10"/>
      <c r="IU545" s="10"/>
      <c r="IV545" s="10"/>
      <c r="IW545" s="10"/>
    </row>
    <row r="546" spans="1:257">
      <c r="A546" s="34"/>
      <c r="B546" s="50"/>
      <c r="C546" s="24"/>
      <c r="D546" s="24"/>
      <c r="E546" s="24"/>
      <c r="F546" s="25"/>
      <c r="G546" s="25"/>
      <c r="H546" s="25"/>
      <c r="I546" s="25"/>
      <c r="J546" s="24"/>
      <c r="K546" s="25"/>
      <c r="L546" s="25"/>
      <c r="M546" s="25"/>
      <c r="N546" s="25"/>
      <c r="O546" s="25"/>
      <c r="P546" s="25"/>
      <c r="Q546" s="25"/>
      <c r="R546" s="24"/>
      <c r="S546" s="26">
        <f t="shared" si="34"/>
        <v>0</v>
      </c>
      <c r="T546" s="26">
        <f>COUNTIF($V$4:V546,V546)</f>
        <v>503</v>
      </c>
      <c r="U546" s="26" t="str">
        <f>IF(T546=1,COUNTIF($T$4:T546,1),"")</f>
        <v/>
      </c>
      <c r="V546" s="27" t="str">
        <f t="shared" si="36"/>
        <v/>
      </c>
      <c r="W546" s="27">
        <f t="shared" si="35"/>
        <v>0</v>
      </c>
      <c r="X546" s="28"/>
      <c r="Y546" s="27"/>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0"/>
      <c r="DJ546" s="10"/>
      <c r="DK546" s="10"/>
      <c r="DL546" s="10"/>
      <c r="DM546" s="10"/>
      <c r="DN546" s="10"/>
      <c r="DO546" s="10"/>
      <c r="DP546" s="10"/>
      <c r="DQ546" s="10"/>
      <c r="DR546" s="10"/>
      <c r="DS546" s="10"/>
      <c r="DT546" s="10"/>
      <c r="DU546" s="10"/>
      <c r="DV546" s="10"/>
      <c r="DW546" s="10"/>
      <c r="DX546" s="10"/>
      <c r="DY546" s="10"/>
      <c r="DZ546" s="10"/>
      <c r="EA546" s="10"/>
      <c r="EB546" s="10"/>
      <c r="EC546" s="10"/>
      <c r="ED546" s="10"/>
      <c r="EE546" s="10"/>
      <c r="EF546" s="10"/>
      <c r="EG546" s="10"/>
      <c r="EH546" s="10"/>
      <c r="EI546" s="10"/>
      <c r="EJ546" s="10"/>
      <c r="EK546" s="10"/>
      <c r="EL546" s="10"/>
      <c r="EM546" s="10"/>
      <c r="EN546" s="10"/>
      <c r="EO546" s="10"/>
      <c r="EP546" s="10"/>
      <c r="EQ546" s="10"/>
      <c r="ER546" s="10"/>
      <c r="ES546" s="10"/>
      <c r="ET546" s="10"/>
      <c r="EU546" s="10"/>
      <c r="EV546" s="10"/>
      <c r="EW546" s="10"/>
      <c r="EX546" s="10"/>
      <c r="EY546" s="10"/>
      <c r="EZ546" s="10"/>
      <c r="FA546" s="10"/>
      <c r="FB546" s="10"/>
      <c r="FC546" s="10"/>
      <c r="FD546" s="10"/>
      <c r="FE546" s="10"/>
      <c r="FF546" s="10"/>
      <c r="FG546" s="10"/>
      <c r="FH546" s="10"/>
      <c r="FI546" s="10"/>
      <c r="FJ546" s="10"/>
      <c r="FK546" s="10"/>
      <c r="FL546" s="10"/>
      <c r="FM546" s="10"/>
      <c r="FN546" s="10"/>
      <c r="FO546" s="10"/>
      <c r="FP546" s="10"/>
      <c r="FQ546" s="10"/>
      <c r="FR546" s="10"/>
      <c r="FS546" s="10"/>
      <c r="FT546" s="10"/>
      <c r="FU546" s="10"/>
      <c r="FV546" s="10"/>
      <c r="FW546" s="10"/>
      <c r="FX546" s="10"/>
      <c r="FY546" s="10"/>
      <c r="FZ546" s="10"/>
      <c r="GA546" s="10"/>
      <c r="GB546" s="10"/>
      <c r="GC546" s="10"/>
      <c r="GD546" s="10"/>
      <c r="GE546" s="10"/>
      <c r="GF546" s="10"/>
      <c r="GG546" s="10"/>
      <c r="GH546" s="10"/>
      <c r="GI546" s="10"/>
      <c r="GJ546" s="10"/>
      <c r="GK546" s="10"/>
      <c r="GL546" s="10"/>
      <c r="GM546" s="10"/>
      <c r="GN546" s="10"/>
      <c r="GO546" s="10"/>
      <c r="GP546" s="10"/>
      <c r="GQ546" s="10"/>
      <c r="GR546" s="10"/>
      <c r="GS546" s="10"/>
      <c r="GT546" s="10"/>
      <c r="GU546" s="10"/>
      <c r="GV546" s="10"/>
      <c r="GW546" s="10"/>
      <c r="GX546" s="10"/>
      <c r="GY546" s="10"/>
      <c r="GZ546" s="10"/>
      <c r="HA546" s="10"/>
      <c r="HB546" s="10"/>
      <c r="HC546" s="10"/>
      <c r="HD546" s="10"/>
      <c r="HE546" s="10"/>
      <c r="HF546" s="10"/>
      <c r="HG546" s="10"/>
      <c r="HH546" s="10"/>
      <c r="HI546" s="10"/>
      <c r="HJ546" s="10"/>
      <c r="HK546" s="10"/>
      <c r="HL546" s="10"/>
      <c r="HM546" s="10"/>
      <c r="HN546" s="10"/>
      <c r="HO546" s="10"/>
      <c r="HP546" s="10"/>
      <c r="HQ546" s="10"/>
      <c r="HR546" s="10"/>
      <c r="HS546" s="10"/>
      <c r="HT546" s="10"/>
      <c r="HU546" s="10"/>
      <c r="HV546" s="10"/>
      <c r="HW546" s="10"/>
      <c r="HX546" s="10"/>
      <c r="HY546" s="10"/>
      <c r="HZ546" s="10"/>
      <c r="IA546" s="10"/>
      <c r="IB546" s="10"/>
      <c r="IC546" s="10"/>
      <c r="ID546" s="10"/>
      <c r="IE546" s="10"/>
      <c r="IF546" s="10"/>
      <c r="IG546" s="10"/>
      <c r="IH546" s="10"/>
      <c r="II546" s="10"/>
      <c r="IJ546" s="10"/>
      <c r="IK546" s="10"/>
      <c r="IL546" s="10"/>
      <c r="IM546" s="10"/>
      <c r="IN546" s="10"/>
      <c r="IO546" s="10"/>
      <c r="IP546" s="10"/>
      <c r="IQ546" s="10"/>
      <c r="IR546" s="10"/>
      <c r="IS546" s="10"/>
      <c r="IT546" s="10"/>
      <c r="IU546" s="10"/>
      <c r="IV546" s="10"/>
      <c r="IW546" s="10"/>
    </row>
    <row r="547" spans="1:257">
      <c r="A547" s="34"/>
      <c r="B547" s="50"/>
      <c r="C547" s="24"/>
      <c r="D547" s="24"/>
      <c r="E547" s="24"/>
      <c r="F547" s="25"/>
      <c r="G547" s="25"/>
      <c r="H547" s="25"/>
      <c r="I547" s="25"/>
      <c r="J547" s="24"/>
      <c r="K547" s="25"/>
      <c r="L547" s="25"/>
      <c r="M547" s="25"/>
      <c r="N547" s="25"/>
      <c r="O547" s="25"/>
      <c r="P547" s="25"/>
      <c r="Q547" s="25"/>
      <c r="R547" s="24"/>
      <c r="S547" s="26">
        <f t="shared" si="34"/>
        <v>0</v>
      </c>
      <c r="T547" s="26">
        <f>COUNTIF($V$4:V547,V547)</f>
        <v>504</v>
      </c>
      <c r="U547" s="26" t="str">
        <f>IF(T547=1,COUNTIF($T$4:T547,1),"")</f>
        <v/>
      </c>
      <c r="V547" s="27" t="str">
        <f t="shared" si="36"/>
        <v/>
      </c>
      <c r="W547" s="27">
        <f t="shared" si="35"/>
        <v>0</v>
      </c>
      <c r="X547" s="28"/>
      <c r="Y547" s="27"/>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0"/>
      <c r="DJ547" s="10"/>
      <c r="DK547" s="10"/>
      <c r="DL547" s="10"/>
      <c r="DM547" s="10"/>
      <c r="DN547" s="10"/>
      <c r="DO547" s="10"/>
      <c r="DP547" s="10"/>
      <c r="DQ547" s="10"/>
      <c r="DR547" s="10"/>
      <c r="DS547" s="10"/>
      <c r="DT547" s="10"/>
      <c r="DU547" s="10"/>
      <c r="DV547" s="10"/>
      <c r="DW547" s="10"/>
      <c r="DX547" s="10"/>
      <c r="DY547" s="10"/>
      <c r="DZ547" s="10"/>
      <c r="EA547" s="10"/>
      <c r="EB547" s="10"/>
      <c r="EC547" s="10"/>
      <c r="ED547" s="10"/>
      <c r="EE547" s="10"/>
      <c r="EF547" s="10"/>
      <c r="EG547" s="10"/>
      <c r="EH547" s="10"/>
      <c r="EI547" s="10"/>
      <c r="EJ547" s="10"/>
      <c r="EK547" s="10"/>
      <c r="EL547" s="10"/>
      <c r="EM547" s="10"/>
      <c r="EN547" s="10"/>
      <c r="EO547" s="10"/>
      <c r="EP547" s="10"/>
      <c r="EQ547" s="10"/>
      <c r="ER547" s="10"/>
      <c r="ES547" s="10"/>
      <c r="ET547" s="10"/>
      <c r="EU547" s="10"/>
      <c r="EV547" s="10"/>
      <c r="EW547" s="10"/>
      <c r="EX547" s="10"/>
      <c r="EY547" s="10"/>
      <c r="EZ547" s="10"/>
      <c r="FA547" s="10"/>
      <c r="FB547" s="10"/>
      <c r="FC547" s="10"/>
      <c r="FD547" s="10"/>
      <c r="FE547" s="10"/>
      <c r="FF547" s="10"/>
      <c r="FG547" s="10"/>
      <c r="FH547" s="10"/>
      <c r="FI547" s="10"/>
      <c r="FJ547" s="10"/>
      <c r="FK547" s="10"/>
      <c r="FL547" s="10"/>
      <c r="FM547" s="10"/>
      <c r="FN547" s="10"/>
      <c r="FO547" s="10"/>
      <c r="FP547" s="10"/>
      <c r="FQ547" s="10"/>
      <c r="FR547" s="10"/>
      <c r="FS547" s="10"/>
      <c r="FT547" s="10"/>
      <c r="FU547" s="10"/>
      <c r="FV547" s="10"/>
      <c r="FW547" s="10"/>
      <c r="FX547" s="10"/>
      <c r="FY547" s="10"/>
      <c r="FZ547" s="10"/>
      <c r="GA547" s="10"/>
      <c r="GB547" s="10"/>
      <c r="GC547" s="10"/>
      <c r="GD547" s="10"/>
      <c r="GE547" s="10"/>
      <c r="GF547" s="10"/>
      <c r="GG547" s="10"/>
      <c r="GH547" s="10"/>
      <c r="GI547" s="10"/>
      <c r="GJ547" s="10"/>
      <c r="GK547" s="10"/>
      <c r="GL547" s="10"/>
      <c r="GM547" s="10"/>
      <c r="GN547" s="10"/>
      <c r="GO547" s="10"/>
      <c r="GP547" s="10"/>
      <c r="GQ547" s="10"/>
      <c r="GR547" s="10"/>
      <c r="GS547" s="10"/>
      <c r="GT547" s="10"/>
      <c r="GU547" s="10"/>
      <c r="GV547" s="10"/>
      <c r="GW547" s="10"/>
      <c r="GX547" s="10"/>
      <c r="GY547" s="10"/>
      <c r="GZ547" s="10"/>
      <c r="HA547" s="10"/>
      <c r="HB547" s="10"/>
      <c r="HC547" s="10"/>
      <c r="HD547" s="10"/>
      <c r="HE547" s="10"/>
      <c r="HF547" s="10"/>
      <c r="HG547" s="10"/>
      <c r="HH547" s="10"/>
      <c r="HI547" s="10"/>
      <c r="HJ547" s="10"/>
      <c r="HK547" s="10"/>
      <c r="HL547" s="10"/>
      <c r="HM547" s="10"/>
      <c r="HN547" s="10"/>
      <c r="HO547" s="10"/>
      <c r="HP547" s="10"/>
      <c r="HQ547" s="10"/>
      <c r="HR547" s="10"/>
      <c r="HS547" s="10"/>
      <c r="HT547" s="10"/>
      <c r="HU547" s="10"/>
      <c r="HV547" s="10"/>
      <c r="HW547" s="10"/>
      <c r="HX547" s="10"/>
      <c r="HY547" s="10"/>
      <c r="HZ547" s="10"/>
      <c r="IA547" s="10"/>
      <c r="IB547" s="10"/>
      <c r="IC547" s="10"/>
      <c r="ID547" s="10"/>
      <c r="IE547" s="10"/>
      <c r="IF547" s="10"/>
      <c r="IG547" s="10"/>
      <c r="IH547" s="10"/>
      <c r="II547" s="10"/>
      <c r="IJ547" s="10"/>
      <c r="IK547" s="10"/>
      <c r="IL547" s="10"/>
      <c r="IM547" s="10"/>
      <c r="IN547" s="10"/>
      <c r="IO547" s="10"/>
      <c r="IP547" s="10"/>
      <c r="IQ547" s="10"/>
      <c r="IR547" s="10"/>
      <c r="IS547" s="10"/>
      <c r="IT547" s="10"/>
      <c r="IU547" s="10"/>
      <c r="IV547" s="10"/>
      <c r="IW547" s="10"/>
    </row>
    <row r="548" spans="1:257">
      <c r="A548" s="34"/>
      <c r="B548" s="50"/>
      <c r="C548" s="24"/>
      <c r="D548" s="24"/>
      <c r="E548" s="24"/>
      <c r="F548" s="25"/>
      <c r="G548" s="25"/>
      <c r="H548" s="25"/>
      <c r="I548" s="25"/>
      <c r="J548" s="24"/>
      <c r="K548" s="25"/>
      <c r="L548" s="25"/>
      <c r="M548" s="25"/>
      <c r="N548" s="25"/>
      <c r="O548" s="25"/>
      <c r="P548" s="25"/>
      <c r="Q548" s="25"/>
      <c r="R548" s="24"/>
      <c r="S548" s="26">
        <f t="shared" si="34"/>
        <v>0</v>
      </c>
      <c r="T548" s="26">
        <f>COUNTIF($V$4:V548,V548)</f>
        <v>505</v>
      </c>
      <c r="U548" s="26" t="str">
        <f>IF(T548=1,COUNTIF($T$4:T548,1),"")</f>
        <v/>
      </c>
      <c r="V548" s="27" t="str">
        <f t="shared" si="36"/>
        <v/>
      </c>
      <c r="W548" s="27">
        <f t="shared" si="35"/>
        <v>0</v>
      </c>
      <c r="X548" s="28"/>
      <c r="Y548" s="27"/>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0"/>
      <c r="DJ548" s="10"/>
      <c r="DK548" s="10"/>
      <c r="DL548" s="10"/>
      <c r="DM548" s="10"/>
      <c r="DN548" s="10"/>
      <c r="DO548" s="10"/>
      <c r="DP548" s="10"/>
      <c r="DQ548" s="10"/>
      <c r="DR548" s="10"/>
      <c r="DS548" s="10"/>
      <c r="DT548" s="10"/>
      <c r="DU548" s="10"/>
      <c r="DV548" s="10"/>
      <c r="DW548" s="10"/>
      <c r="DX548" s="10"/>
      <c r="DY548" s="10"/>
      <c r="DZ548" s="10"/>
      <c r="EA548" s="10"/>
      <c r="EB548" s="10"/>
      <c r="EC548" s="10"/>
      <c r="ED548" s="10"/>
      <c r="EE548" s="10"/>
      <c r="EF548" s="10"/>
      <c r="EG548" s="10"/>
      <c r="EH548" s="10"/>
      <c r="EI548" s="10"/>
      <c r="EJ548" s="10"/>
      <c r="EK548" s="10"/>
      <c r="EL548" s="10"/>
      <c r="EM548" s="10"/>
      <c r="EN548" s="10"/>
      <c r="EO548" s="10"/>
      <c r="EP548" s="10"/>
      <c r="EQ548" s="10"/>
      <c r="ER548" s="10"/>
      <c r="ES548" s="10"/>
      <c r="ET548" s="10"/>
      <c r="EU548" s="10"/>
      <c r="EV548" s="10"/>
      <c r="EW548" s="10"/>
      <c r="EX548" s="10"/>
      <c r="EY548" s="10"/>
      <c r="EZ548" s="10"/>
      <c r="FA548" s="10"/>
      <c r="FB548" s="10"/>
      <c r="FC548" s="10"/>
      <c r="FD548" s="10"/>
      <c r="FE548" s="10"/>
      <c r="FF548" s="10"/>
      <c r="FG548" s="10"/>
      <c r="FH548" s="10"/>
      <c r="FI548" s="10"/>
      <c r="FJ548" s="10"/>
      <c r="FK548" s="10"/>
      <c r="FL548" s="10"/>
      <c r="FM548" s="10"/>
      <c r="FN548" s="10"/>
      <c r="FO548" s="10"/>
      <c r="FP548" s="10"/>
      <c r="FQ548" s="10"/>
      <c r="FR548" s="10"/>
      <c r="FS548" s="10"/>
      <c r="FT548" s="10"/>
      <c r="FU548" s="10"/>
      <c r="FV548" s="10"/>
      <c r="FW548" s="10"/>
      <c r="FX548" s="10"/>
      <c r="FY548" s="10"/>
      <c r="FZ548" s="10"/>
      <c r="GA548" s="10"/>
      <c r="GB548" s="10"/>
      <c r="GC548" s="10"/>
      <c r="GD548" s="10"/>
      <c r="GE548" s="10"/>
      <c r="GF548" s="10"/>
      <c r="GG548" s="10"/>
      <c r="GH548" s="10"/>
      <c r="GI548" s="10"/>
      <c r="GJ548" s="10"/>
      <c r="GK548" s="10"/>
      <c r="GL548" s="10"/>
      <c r="GM548" s="10"/>
      <c r="GN548" s="10"/>
      <c r="GO548" s="10"/>
      <c r="GP548" s="10"/>
      <c r="GQ548" s="10"/>
      <c r="GR548" s="10"/>
      <c r="GS548" s="10"/>
      <c r="GT548" s="10"/>
      <c r="GU548" s="10"/>
      <c r="GV548" s="10"/>
      <c r="GW548" s="10"/>
      <c r="GX548" s="10"/>
      <c r="GY548" s="10"/>
      <c r="GZ548" s="10"/>
      <c r="HA548" s="10"/>
      <c r="HB548" s="10"/>
      <c r="HC548" s="10"/>
      <c r="HD548" s="10"/>
      <c r="HE548" s="10"/>
      <c r="HF548" s="10"/>
      <c r="HG548" s="10"/>
      <c r="HH548" s="10"/>
      <c r="HI548" s="10"/>
      <c r="HJ548" s="10"/>
      <c r="HK548" s="10"/>
      <c r="HL548" s="10"/>
      <c r="HM548" s="10"/>
      <c r="HN548" s="10"/>
      <c r="HO548" s="10"/>
      <c r="HP548" s="10"/>
      <c r="HQ548" s="10"/>
      <c r="HR548" s="10"/>
      <c r="HS548" s="10"/>
      <c r="HT548" s="10"/>
      <c r="HU548" s="10"/>
      <c r="HV548" s="10"/>
      <c r="HW548" s="10"/>
      <c r="HX548" s="10"/>
      <c r="HY548" s="10"/>
      <c r="HZ548" s="10"/>
      <c r="IA548" s="10"/>
      <c r="IB548" s="10"/>
      <c r="IC548" s="10"/>
      <c r="ID548" s="10"/>
      <c r="IE548" s="10"/>
      <c r="IF548" s="10"/>
      <c r="IG548" s="10"/>
      <c r="IH548" s="10"/>
      <c r="II548" s="10"/>
      <c r="IJ548" s="10"/>
      <c r="IK548" s="10"/>
      <c r="IL548" s="10"/>
      <c r="IM548" s="10"/>
      <c r="IN548" s="10"/>
      <c r="IO548" s="10"/>
      <c r="IP548" s="10"/>
      <c r="IQ548" s="10"/>
      <c r="IR548" s="10"/>
      <c r="IS548" s="10"/>
      <c r="IT548" s="10"/>
      <c r="IU548" s="10"/>
      <c r="IV548" s="10"/>
      <c r="IW548" s="10"/>
    </row>
    <row r="549" spans="1:257">
      <c r="A549" s="34"/>
      <c r="B549" s="50"/>
      <c r="C549" s="24"/>
      <c r="D549" s="24"/>
      <c r="E549" s="24"/>
      <c r="F549" s="25"/>
      <c r="G549" s="25"/>
      <c r="H549" s="25"/>
      <c r="I549" s="25"/>
      <c r="J549" s="24"/>
      <c r="K549" s="25"/>
      <c r="L549" s="25"/>
      <c r="M549" s="25"/>
      <c r="N549" s="25"/>
      <c r="O549" s="25"/>
      <c r="P549" s="25"/>
      <c r="Q549" s="25"/>
      <c r="R549" s="24"/>
      <c r="S549" s="26">
        <f t="shared" si="34"/>
        <v>0</v>
      </c>
      <c r="T549" s="26">
        <f>COUNTIF($V$4:V549,V549)</f>
        <v>506</v>
      </c>
      <c r="U549" s="26" t="str">
        <f>IF(T549=1,COUNTIF($T$4:T549,1),"")</f>
        <v/>
      </c>
      <c r="V549" s="27" t="str">
        <f t="shared" si="36"/>
        <v/>
      </c>
      <c r="W549" s="27">
        <f t="shared" si="35"/>
        <v>0</v>
      </c>
      <c r="X549" s="28"/>
      <c r="Y549" s="27"/>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0"/>
      <c r="DJ549" s="10"/>
      <c r="DK549" s="10"/>
      <c r="DL549" s="10"/>
      <c r="DM549" s="10"/>
      <c r="DN549" s="10"/>
      <c r="DO549" s="10"/>
      <c r="DP549" s="10"/>
      <c r="DQ549" s="10"/>
      <c r="DR549" s="10"/>
      <c r="DS549" s="10"/>
      <c r="DT549" s="10"/>
      <c r="DU549" s="10"/>
      <c r="DV549" s="10"/>
      <c r="DW549" s="10"/>
      <c r="DX549" s="10"/>
      <c r="DY549" s="10"/>
      <c r="DZ549" s="10"/>
      <c r="EA549" s="10"/>
      <c r="EB549" s="10"/>
      <c r="EC549" s="10"/>
      <c r="ED549" s="10"/>
      <c r="EE549" s="10"/>
      <c r="EF549" s="10"/>
      <c r="EG549" s="10"/>
      <c r="EH549" s="10"/>
      <c r="EI549" s="10"/>
      <c r="EJ549" s="10"/>
      <c r="EK549" s="10"/>
      <c r="EL549" s="10"/>
      <c r="EM549" s="10"/>
      <c r="EN549" s="10"/>
      <c r="EO549" s="10"/>
      <c r="EP549" s="10"/>
      <c r="EQ549" s="10"/>
      <c r="ER549" s="10"/>
      <c r="ES549" s="10"/>
      <c r="ET549" s="10"/>
      <c r="EU549" s="10"/>
      <c r="EV549" s="10"/>
      <c r="EW549" s="10"/>
      <c r="EX549" s="10"/>
      <c r="EY549" s="10"/>
      <c r="EZ549" s="10"/>
      <c r="FA549" s="10"/>
      <c r="FB549" s="10"/>
      <c r="FC549" s="10"/>
      <c r="FD549" s="10"/>
      <c r="FE549" s="10"/>
      <c r="FF549" s="10"/>
      <c r="FG549" s="10"/>
      <c r="FH549" s="10"/>
      <c r="FI549" s="10"/>
      <c r="FJ549" s="10"/>
      <c r="FK549" s="10"/>
      <c r="FL549" s="10"/>
      <c r="FM549" s="10"/>
      <c r="FN549" s="10"/>
      <c r="FO549" s="10"/>
      <c r="FP549" s="10"/>
      <c r="FQ549" s="10"/>
      <c r="FR549" s="10"/>
      <c r="FS549" s="10"/>
      <c r="FT549" s="10"/>
      <c r="FU549" s="10"/>
      <c r="FV549" s="10"/>
      <c r="FW549" s="10"/>
      <c r="FX549" s="10"/>
      <c r="FY549" s="10"/>
      <c r="FZ549" s="10"/>
      <c r="GA549" s="10"/>
      <c r="GB549" s="10"/>
      <c r="GC549" s="10"/>
      <c r="GD549" s="10"/>
      <c r="GE549" s="10"/>
      <c r="GF549" s="10"/>
      <c r="GG549" s="10"/>
      <c r="GH549" s="10"/>
      <c r="GI549" s="10"/>
      <c r="GJ549" s="10"/>
      <c r="GK549" s="10"/>
      <c r="GL549" s="10"/>
      <c r="GM549" s="10"/>
      <c r="GN549" s="10"/>
      <c r="GO549" s="10"/>
      <c r="GP549" s="10"/>
      <c r="GQ549" s="10"/>
      <c r="GR549" s="10"/>
      <c r="GS549" s="10"/>
      <c r="GT549" s="10"/>
      <c r="GU549" s="10"/>
      <c r="GV549" s="10"/>
      <c r="GW549" s="10"/>
      <c r="GX549" s="10"/>
      <c r="GY549" s="10"/>
      <c r="GZ549" s="10"/>
      <c r="HA549" s="10"/>
      <c r="HB549" s="10"/>
      <c r="HC549" s="10"/>
      <c r="HD549" s="10"/>
      <c r="HE549" s="10"/>
      <c r="HF549" s="10"/>
      <c r="HG549" s="10"/>
      <c r="HH549" s="10"/>
      <c r="HI549" s="10"/>
      <c r="HJ549" s="10"/>
      <c r="HK549" s="10"/>
      <c r="HL549" s="10"/>
      <c r="HM549" s="10"/>
      <c r="HN549" s="10"/>
      <c r="HO549" s="10"/>
      <c r="HP549" s="10"/>
      <c r="HQ549" s="10"/>
      <c r="HR549" s="10"/>
      <c r="HS549" s="10"/>
      <c r="HT549" s="10"/>
      <c r="HU549" s="10"/>
      <c r="HV549" s="10"/>
      <c r="HW549" s="10"/>
      <c r="HX549" s="10"/>
      <c r="HY549" s="10"/>
      <c r="HZ549" s="10"/>
      <c r="IA549" s="10"/>
      <c r="IB549" s="10"/>
      <c r="IC549" s="10"/>
      <c r="ID549" s="10"/>
      <c r="IE549" s="10"/>
      <c r="IF549" s="10"/>
      <c r="IG549" s="10"/>
      <c r="IH549" s="10"/>
      <c r="II549" s="10"/>
      <c r="IJ549" s="10"/>
      <c r="IK549" s="10"/>
      <c r="IL549" s="10"/>
      <c r="IM549" s="10"/>
      <c r="IN549" s="10"/>
      <c r="IO549" s="10"/>
      <c r="IP549" s="10"/>
      <c r="IQ549" s="10"/>
      <c r="IR549" s="10"/>
      <c r="IS549" s="10"/>
      <c r="IT549" s="10"/>
      <c r="IU549" s="10"/>
      <c r="IV549" s="10"/>
      <c r="IW549" s="10"/>
    </row>
    <row r="550" spans="1:257">
      <c r="A550" s="34"/>
      <c r="B550" s="50"/>
      <c r="C550" s="24"/>
      <c r="D550" s="24"/>
      <c r="E550" s="24"/>
      <c r="F550" s="25"/>
      <c r="G550" s="25"/>
      <c r="H550" s="25"/>
      <c r="I550" s="25"/>
      <c r="J550" s="24"/>
      <c r="K550" s="25"/>
      <c r="L550" s="25"/>
      <c r="M550" s="25"/>
      <c r="N550" s="25"/>
      <c r="O550" s="25"/>
      <c r="P550" s="25"/>
      <c r="Q550" s="25"/>
      <c r="R550" s="24"/>
      <c r="S550" s="26">
        <f t="shared" si="34"/>
        <v>0</v>
      </c>
      <c r="T550" s="26">
        <f>COUNTIF($V$4:V550,V550)</f>
        <v>507</v>
      </c>
      <c r="U550" s="26" t="str">
        <f>IF(T550=1,COUNTIF($T$4:T550,1),"")</f>
        <v/>
      </c>
      <c r="V550" s="27" t="str">
        <f t="shared" si="36"/>
        <v/>
      </c>
      <c r="W550" s="27">
        <f t="shared" si="35"/>
        <v>0</v>
      </c>
      <c r="X550" s="28"/>
      <c r="Y550" s="27"/>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0"/>
      <c r="DJ550" s="10"/>
      <c r="DK550" s="10"/>
      <c r="DL550" s="10"/>
      <c r="DM550" s="10"/>
      <c r="DN550" s="10"/>
      <c r="DO550" s="10"/>
      <c r="DP550" s="10"/>
      <c r="DQ550" s="10"/>
      <c r="DR550" s="10"/>
      <c r="DS550" s="10"/>
      <c r="DT550" s="10"/>
      <c r="DU550" s="10"/>
      <c r="DV550" s="10"/>
      <c r="DW550" s="10"/>
      <c r="DX550" s="10"/>
      <c r="DY550" s="10"/>
      <c r="DZ550" s="10"/>
      <c r="EA550" s="10"/>
      <c r="EB550" s="10"/>
      <c r="EC550" s="10"/>
      <c r="ED550" s="10"/>
      <c r="EE550" s="10"/>
      <c r="EF550" s="10"/>
      <c r="EG550" s="10"/>
      <c r="EH550" s="10"/>
      <c r="EI550" s="10"/>
      <c r="EJ550" s="10"/>
      <c r="EK550" s="10"/>
      <c r="EL550" s="10"/>
      <c r="EM550" s="10"/>
      <c r="EN550" s="10"/>
      <c r="EO550" s="10"/>
      <c r="EP550" s="10"/>
      <c r="EQ550" s="10"/>
      <c r="ER550" s="10"/>
      <c r="ES550" s="10"/>
      <c r="ET550" s="10"/>
      <c r="EU550" s="10"/>
      <c r="EV550" s="10"/>
      <c r="EW550" s="10"/>
      <c r="EX550" s="10"/>
      <c r="EY550" s="10"/>
      <c r="EZ550" s="10"/>
      <c r="FA550" s="10"/>
      <c r="FB550" s="10"/>
      <c r="FC550" s="10"/>
      <c r="FD550" s="10"/>
      <c r="FE550" s="10"/>
      <c r="FF550" s="10"/>
      <c r="FG550" s="10"/>
      <c r="FH550" s="10"/>
      <c r="FI550" s="10"/>
      <c r="FJ550" s="10"/>
      <c r="FK550" s="10"/>
      <c r="FL550" s="10"/>
      <c r="FM550" s="10"/>
      <c r="FN550" s="10"/>
      <c r="FO550" s="10"/>
      <c r="FP550" s="10"/>
      <c r="FQ550" s="10"/>
      <c r="FR550" s="10"/>
      <c r="FS550" s="10"/>
      <c r="FT550" s="10"/>
      <c r="FU550" s="10"/>
      <c r="FV550" s="10"/>
      <c r="FW550" s="10"/>
      <c r="FX550" s="10"/>
      <c r="FY550" s="10"/>
      <c r="FZ550" s="10"/>
      <c r="GA550" s="10"/>
      <c r="GB550" s="10"/>
      <c r="GC550" s="10"/>
      <c r="GD550" s="10"/>
      <c r="GE550" s="10"/>
      <c r="GF550" s="10"/>
      <c r="GG550" s="10"/>
      <c r="GH550" s="10"/>
      <c r="GI550" s="10"/>
      <c r="GJ550" s="10"/>
      <c r="GK550" s="10"/>
      <c r="GL550" s="10"/>
      <c r="GM550" s="10"/>
      <c r="GN550" s="10"/>
      <c r="GO550" s="10"/>
      <c r="GP550" s="10"/>
      <c r="GQ550" s="10"/>
      <c r="GR550" s="10"/>
      <c r="GS550" s="10"/>
      <c r="GT550" s="10"/>
      <c r="GU550" s="10"/>
      <c r="GV550" s="10"/>
      <c r="GW550" s="10"/>
      <c r="GX550" s="10"/>
      <c r="GY550" s="10"/>
      <c r="GZ550" s="10"/>
      <c r="HA550" s="10"/>
      <c r="HB550" s="10"/>
      <c r="HC550" s="10"/>
      <c r="HD550" s="10"/>
      <c r="HE550" s="10"/>
      <c r="HF550" s="10"/>
      <c r="HG550" s="10"/>
      <c r="HH550" s="10"/>
      <c r="HI550" s="10"/>
      <c r="HJ550" s="10"/>
      <c r="HK550" s="10"/>
      <c r="HL550" s="10"/>
      <c r="HM550" s="10"/>
      <c r="HN550" s="10"/>
      <c r="HO550" s="10"/>
      <c r="HP550" s="10"/>
      <c r="HQ550" s="10"/>
      <c r="HR550" s="10"/>
      <c r="HS550" s="10"/>
      <c r="HT550" s="10"/>
      <c r="HU550" s="10"/>
      <c r="HV550" s="10"/>
      <c r="HW550" s="10"/>
      <c r="HX550" s="10"/>
      <c r="HY550" s="10"/>
      <c r="HZ550" s="10"/>
      <c r="IA550" s="10"/>
      <c r="IB550" s="10"/>
      <c r="IC550" s="10"/>
      <c r="ID550" s="10"/>
      <c r="IE550" s="10"/>
      <c r="IF550" s="10"/>
      <c r="IG550" s="10"/>
      <c r="IH550" s="10"/>
      <c r="II550" s="10"/>
      <c r="IJ550" s="10"/>
      <c r="IK550" s="10"/>
      <c r="IL550" s="10"/>
      <c r="IM550" s="10"/>
      <c r="IN550" s="10"/>
      <c r="IO550" s="10"/>
      <c r="IP550" s="10"/>
      <c r="IQ550" s="10"/>
      <c r="IR550" s="10"/>
      <c r="IS550" s="10"/>
      <c r="IT550" s="10"/>
      <c r="IU550" s="10"/>
      <c r="IV550" s="10"/>
      <c r="IW550" s="10"/>
    </row>
    <row r="551" spans="1:257">
      <c r="A551" s="34"/>
      <c r="B551" s="50"/>
      <c r="C551" s="24"/>
      <c r="D551" s="24"/>
      <c r="E551" s="24"/>
      <c r="F551" s="25"/>
      <c r="G551" s="25"/>
      <c r="H551" s="25"/>
      <c r="I551" s="25"/>
      <c r="J551" s="24"/>
      <c r="K551" s="25"/>
      <c r="L551" s="25"/>
      <c r="M551" s="25"/>
      <c r="N551" s="25"/>
      <c r="O551" s="25"/>
      <c r="P551" s="25"/>
      <c r="Q551" s="25"/>
      <c r="R551" s="24"/>
      <c r="S551" s="26">
        <f t="shared" si="34"/>
        <v>0</v>
      </c>
      <c r="T551" s="26">
        <f>COUNTIF($V$4:V551,V551)</f>
        <v>508</v>
      </c>
      <c r="U551" s="26" t="str">
        <f>IF(T551=1,COUNTIF($T$4:T551,1),"")</f>
        <v/>
      </c>
      <c r="V551" s="27" t="str">
        <f t="shared" si="36"/>
        <v/>
      </c>
      <c r="W551" s="27">
        <f t="shared" si="35"/>
        <v>0</v>
      </c>
      <c r="X551" s="28"/>
      <c r="Y551" s="27"/>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0"/>
      <c r="DJ551" s="10"/>
      <c r="DK551" s="10"/>
      <c r="DL551" s="10"/>
      <c r="DM551" s="10"/>
      <c r="DN551" s="10"/>
      <c r="DO551" s="10"/>
      <c r="DP551" s="10"/>
      <c r="DQ551" s="10"/>
      <c r="DR551" s="10"/>
      <c r="DS551" s="10"/>
      <c r="DT551" s="10"/>
      <c r="DU551" s="10"/>
      <c r="DV551" s="10"/>
      <c r="DW551" s="10"/>
      <c r="DX551" s="10"/>
      <c r="DY551" s="10"/>
      <c r="DZ551" s="10"/>
      <c r="EA551" s="10"/>
      <c r="EB551" s="10"/>
      <c r="EC551" s="10"/>
      <c r="ED551" s="10"/>
      <c r="EE551" s="10"/>
      <c r="EF551" s="10"/>
      <c r="EG551" s="10"/>
      <c r="EH551" s="10"/>
      <c r="EI551" s="10"/>
      <c r="EJ551" s="10"/>
      <c r="EK551" s="10"/>
      <c r="EL551" s="10"/>
      <c r="EM551" s="10"/>
      <c r="EN551" s="10"/>
      <c r="EO551" s="10"/>
      <c r="EP551" s="10"/>
      <c r="EQ551" s="10"/>
      <c r="ER551" s="10"/>
      <c r="ES551" s="10"/>
      <c r="ET551" s="10"/>
      <c r="EU551" s="10"/>
      <c r="EV551" s="10"/>
      <c r="EW551" s="10"/>
      <c r="EX551" s="10"/>
      <c r="EY551" s="10"/>
      <c r="EZ551" s="10"/>
      <c r="FA551" s="10"/>
      <c r="FB551" s="10"/>
      <c r="FC551" s="10"/>
      <c r="FD551" s="10"/>
      <c r="FE551" s="10"/>
      <c r="FF551" s="10"/>
      <c r="FG551" s="10"/>
      <c r="FH551" s="10"/>
      <c r="FI551" s="10"/>
      <c r="FJ551" s="10"/>
      <c r="FK551" s="10"/>
      <c r="FL551" s="10"/>
      <c r="FM551" s="10"/>
      <c r="FN551" s="10"/>
      <c r="FO551" s="10"/>
      <c r="FP551" s="10"/>
      <c r="FQ551" s="10"/>
      <c r="FR551" s="10"/>
      <c r="FS551" s="10"/>
      <c r="FT551" s="10"/>
      <c r="FU551" s="10"/>
      <c r="FV551" s="10"/>
      <c r="FW551" s="10"/>
      <c r="FX551" s="10"/>
      <c r="FY551" s="10"/>
      <c r="FZ551" s="10"/>
      <c r="GA551" s="10"/>
      <c r="GB551" s="10"/>
      <c r="GC551" s="10"/>
      <c r="GD551" s="10"/>
      <c r="GE551" s="10"/>
      <c r="GF551" s="10"/>
      <c r="GG551" s="10"/>
      <c r="GH551" s="10"/>
      <c r="GI551" s="10"/>
      <c r="GJ551" s="10"/>
      <c r="GK551" s="10"/>
      <c r="GL551" s="10"/>
      <c r="GM551" s="10"/>
      <c r="GN551" s="10"/>
      <c r="GO551" s="10"/>
      <c r="GP551" s="10"/>
      <c r="GQ551" s="10"/>
      <c r="GR551" s="10"/>
      <c r="GS551" s="10"/>
      <c r="GT551" s="10"/>
      <c r="GU551" s="10"/>
      <c r="GV551" s="10"/>
      <c r="GW551" s="10"/>
      <c r="GX551" s="10"/>
      <c r="GY551" s="10"/>
      <c r="GZ551" s="10"/>
      <c r="HA551" s="10"/>
      <c r="HB551" s="10"/>
      <c r="HC551" s="10"/>
      <c r="HD551" s="10"/>
      <c r="HE551" s="10"/>
      <c r="HF551" s="10"/>
      <c r="HG551" s="10"/>
      <c r="HH551" s="10"/>
      <c r="HI551" s="10"/>
      <c r="HJ551" s="10"/>
      <c r="HK551" s="10"/>
      <c r="HL551" s="10"/>
      <c r="HM551" s="10"/>
      <c r="HN551" s="10"/>
      <c r="HO551" s="10"/>
      <c r="HP551" s="10"/>
      <c r="HQ551" s="10"/>
      <c r="HR551" s="10"/>
      <c r="HS551" s="10"/>
      <c r="HT551" s="10"/>
      <c r="HU551" s="10"/>
      <c r="HV551" s="10"/>
      <c r="HW551" s="10"/>
      <c r="HX551" s="10"/>
      <c r="HY551" s="10"/>
      <c r="HZ551" s="10"/>
      <c r="IA551" s="10"/>
      <c r="IB551" s="10"/>
      <c r="IC551" s="10"/>
      <c r="ID551" s="10"/>
      <c r="IE551" s="10"/>
      <c r="IF551" s="10"/>
      <c r="IG551" s="10"/>
      <c r="IH551" s="10"/>
      <c r="II551" s="10"/>
      <c r="IJ551" s="10"/>
      <c r="IK551" s="10"/>
      <c r="IL551" s="10"/>
      <c r="IM551" s="10"/>
      <c r="IN551" s="10"/>
      <c r="IO551" s="10"/>
      <c r="IP551" s="10"/>
      <c r="IQ551" s="10"/>
      <c r="IR551" s="10"/>
      <c r="IS551" s="10"/>
      <c r="IT551" s="10"/>
      <c r="IU551" s="10"/>
      <c r="IV551" s="10"/>
      <c r="IW551" s="10"/>
    </row>
    <row r="552" spans="1:257">
      <c r="A552" s="34"/>
      <c r="B552" s="50"/>
      <c r="C552" s="24"/>
      <c r="D552" s="24"/>
      <c r="E552" s="24"/>
      <c r="F552" s="25"/>
      <c r="G552" s="25"/>
      <c r="H552" s="25"/>
      <c r="I552" s="25"/>
      <c r="J552" s="24"/>
      <c r="K552" s="25"/>
      <c r="L552" s="25"/>
      <c r="M552" s="25"/>
      <c r="N552" s="25"/>
      <c r="O552" s="25"/>
      <c r="P552" s="25"/>
      <c r="Q552" s="25"/>
      <c r="R552" s="24"/>
      <c r="S552" s="26">
        <f t="shared" si="34"/>
        <v>0</v>
      </c>
      <c r="T552" s="26">
        <f>COUNTIF($V$4:V552,V552)</f>
        <v>509</v>
      </c>
      <c r="U552" s="26" t="str">
        <f>IF(T552=1,COUNTIF($T$4:T552,1),"")</f>
        <v/>
      </c>
      <c r="V552" s="27" t="str">
        <f t="shared" si="36"/>
        <v/>
      </c>
      <c r="W552" s="27">
        <f t="shared" si="35"/>
        <v>0</v>
      </c>
      <c r="X552" s="28"/>
      <c r="Y552" s="27"/>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0"/>
      <c r="DJ552" s="10"/>
      <c r="DK552" s="10"/>
      <c r="DL552" s="10"/>
      <c r="DM552" s="10"/>
      <c r="DN552" s="10"/>
      <c r="DO552" s="10"/>
      <c r="DP552" s="10"/>
      <c r="DQ552" s="10"/>
      <c r="DR552" s="10"/>
      <c r="DS552" s="10"/>
      <c r="DT552" s="10"/>
      <c r="DU552" s="10"/>
      <c r="DV552" s="10"/>
      <c r="DW552" s="10"/>
      <c r="DX552" s="10"/>
      <c r="DY552" s="10"/>
      <c r="DZ552" s="10"/>
      <c r="EA552" s="10"/>
      <c r="EB552" s="10"/>
      <c r="EC552" s="10"/>
      <c r="ED552" s="10"/>
      <c r="EE552" s="10"/>
      <c r="EF552" s="10"/>
      <c r="EG552" s="10"/>
      <c r="EH552" s="10"/>
      <c r="EI552" s="10"/>
      <c r="EJ552" s="10"/>
      <c r="EK552" s="10"/>
      <c r="EL552" s="10"/>
      <c r="EM552" s="10"/>
      <c r="EN552" s="10"/>
      <c r="EO552" s="10"/>
      <c r="EP552" s="10"/>
      <c r="EQ552" s="10"/>
      <c r="ER552" s="10"/>
      <c r="ES552" s="10"/>
      <c r="ET552" s="10"/>
      <c r="EU552" s="10"/>
      <c r="EV552" s="10"/>
      <c r="EW552" s="10"/>
      <c r="EX552" s="10"/>
      <c r="EY552" s="10"/>
      <c r="EZ552" s="10"/>
      <c r="FA552" s="10"/>
      <c r="FB552" s="10"/>
      <c r="FC552" s="10"/>
      <c r="FD552" s="10"/>
      <c r="FE552" s="10"/>
      <c r="FF552" s="10"/>
      <c r="FG552" s="10"/>
      <c r="FH552" s="10"/>
      <c r="FI552" s="10"/>
      <c r="FJ552" s="10"/>
      <c r="FK552" s="10"/>
      <c r="FL552" s="10"/>
      <c r="FM552" s="10"/>
      <c r="FN552" s="10"/>
      <c r="FO552" s="10"/>
      <c r="FP552" s="10"/>
      <c r="FQ552" s="10"/>
      <c r="FR552" s="10"/>
      <c r="FS552" s="10"/>
      <c r="FT552" s="10"/>
      <c r="FU552" s="10"/>
      <c r="FV552" s="10"/>
      <c r="FW552" s="10"/>
      <c r="FX552" s="10"/>
      <c r="FY552" s="10"/>
      <c r="FZ552" s="10"/>
      <c r="GA552" s="10"/>
      <c r="GB552" s="10"/>
      <c r="GC552" s="10"/>
      <c r="GD552" s="10"/>
      <c r="GE552" s="10"/>
      <c r="GF552" s="10"/>
      <c r="GG552" s="10"/>
      <c r="GH552" s="10"/>
      <c r="GI552" s="10"/>
      <c r="GJ552" s="10"/>
      <c r="GK552" s="10"/>
      <c r="GL552" s="10"/>
      <c r="GM552" s="10"/>
      <c r="GN552" s="10"/>
      <c r="GO552" s="10"/>
      <c r="GP552" s="10"/>
      <c r="GQ552" s="10"/>
      <c r="GR552" s="10"/>
      <c r="GS552" s="10"/>
      <c r="GT552" s="10"/>
      <c r="GU552" s="10"/>
      <c r="GV552" s="10"/>
      <c r="GW552" s="10"/>
      <c r="GX552" s="10"/>
      <c r="GY552" s="10"/>
      <c r="GZ552" s="10"/>
      <c r="HA552" s="10"/>
      <c r="HB552" s="10"/>
      <c r="HC552" s="10"/>
      <c r="HD552" s="10"/>
      <c r="HE552" s="10"/>
      <c r="HF552" s="10"/>
      <c r="HG552" s="10"/>
      <c r="HH552" s="10"/>
      <c r="HI552" s="10"/>
      <c r="HJ552" s="10"/>
      <c r="HK552" s="10"/>
      <c r="HL552" s="10"/>
      <c r="HM552" s="10"/>
      <c r="HN552" s="10"/>
      <c r="HO552" s="10"/>
      <c r="HP552" s="10"/>
      <c r="HQ552" s="10"/>
      <c r="HR552" s="10"/>
      <c r="HS552" s="10"/>
      <c r="HT552" s="10"/>
      <c r="HU552" s="10"/>
      <c r="HV552" s="10"/>
      <c r="HW552" s="10"/>
      <c r="HX552" s="10"/>
      <c r="HY552" s="10"/>
      <c r="HZ552" s="10"/>
      <c r="IA552" s="10"/>
      <c r="IB552" s="10"/>
      <c r="IC552" s="10"/>
      <c r="ID552" s="10"/>
      <c r="IE552" s="10"/>
      <c r="IF552" s="10"/>
      <c r="IG552" s="10"/>
      <c r="IH552" s="10"/>
      <c r="II552" s="10"/>
      <c r="IJ552" s="10"/>
      <c r="IK552" s="10"/>
      <c r="IL552" s="10"/>
      <c r="IM552" s="10"/>
      <c r="IN552" s="10"/>
      <c r="IO552" s="10"/>
      <c r="IP552" s="10"/>
      <c r="IQ552" s="10"/>
      <c r="IR552" s="10"/>
      <c r="IS552" s="10"/>
      <c r="IT552" s="10"/>
      <c r="IU552" s="10"/>
      <c r="IV552" s="10"/>
      <c r="IW552" s="10"/>
    </row>
    <row r="553" spans="1:257">
      <c r="A553" s="34"/>
      <c r="B553" s="50"/>
      <c r="C553" s="24"/>
      <c r="D553" s="24"/>
      <c r="E553" s="24"/>
      <c r="F553" s="25"/>
      <c r="G553" s="25"/>
      <c r="H553" s="25"/>
      <c r="I553" s="25"/>
      <c r="J553" s="24"/>
      <c r="K553" s="25"/>
      <c r="L553" s="25"/>
      <c r="M553" s="25"/>
      <c r="N553" s="25"/>
      <c r="O553" s="25"/>
      <c r="P553" s="25"/>
      <c r="Q553" s="25"/>
      <c r="R553" s="24"/>
      <c r="S553" s="26">
        <f t="shared" si="34"/>
        <v>0</v>
      </c>
      <c r="T553" s="26">
        <f>COUNTIF($V$4:V553,V553)</f>
        <v>510</v>
      </c>
      <c r="U553" s="26" t="str">
        <f>IF(T553=1,COUNTIF($T$4:T553,1),"")</f>
        <v/>
      </c>
      <c r="V553" s="27" t="str">
        <f t="shared" si="36"/>
        <v/>
      </c>
      <c r="W553" s="27">
        <f t="shared" si="35"/>
        <v>0</v>
      </c>
      <c r="X553" s="28"/>
      <c r="Y553" s="27"/>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0"/>
      <c r="DJ553" s="10"/>
      <c r="DK553" s="10"/>
      <c r="DL553" s="10"/>
      <c r="DM553" s="10"/>
      <c r="DN553" s="10"/>
      <c r="DO553" s="10"/>
      <c r="DP553" s="10"/>
      <c r="DQ553" s="10"/>
      <c r="DR553" s="10"/>
      <c r="DS553" s="10"/>
      <c r="DT553" s="10"/>
      <c r="DU553" s="10"/>
      <c r="DV553" s="10"/>
      <c r="DW553" s="10"/>
      <c r="DX553" s="10"/>
      <c r="DY553" s="10"/>
      <c r="DZ553" s="10"/>
      <c r="EA553" s="10"/>
      <c r="EB553" s="10"/>
      <c r="EC553" s="10"/>
      <c r="ED553" s="10"/>
      <c r="EE553" s="10"/>
      <c r="EF553" s="10"/>
      <c r="EG553" s="10"/>
      <c r="EH553" s="10"/>
      <c r="EI553" s="10"/>
      <c r="EJ553" s="10"/>
      <c r="EK553" s="10"/>
      <c r="EL553" s="10"/>
      <c r="EM553" s="10"/>
      <c r="EN553" s="10"/>
      <c r="EO553" s="10"/>
      <c r="EP553" s="10"/>
      <c r="EQ553" s="10"/>
      <c r="ER553" s="10"/>
      <c r="ES553" s="10"/>
      <c r="ET553" s="10"/>
      <c r="EU553" s="10"/>
      <c r="EV553" s="10"/>
      <c r="EW553" s="10"/>
      <c r="EX553" s="10"/>
      <c r="EY553" s="10"/>
      <c r="EZ553" s="10"/>
      <c r="FA553" s="10"/>
      <c r="FB553" s="10"/>
      <c r="FC553" s="10"/>
      <c r="FD553" s="10"/>
      <c r="FE553" s="10"/>
      <c r="FF553" s="10"/>
      <c r="FG553" s="10"/>
      <c r="FH553" s="10"/>
      <c r="FI553" s="10"/>
      <c r="FJ553" s="10"/>
      <c r="FK553" s="10"/>
      <c r="FL553" s="10"/>
      <c r="FM553" s="10"/>
      <c r="FN553" s="10"/>
      <c r="FO553" s="10"/>
      <c r="FP553" s="10"/>
      <c r="FQ553" s="10"/>
      <c r="FR553" s="10"/>
      <c r="FS553" s="10"/>
      <c r="FT553" s="10"/>
      <c r="FU553" s="10"/>
      <c r="FV553" s="10"/>
      <c r="FW553" s="10"/>
      <c r="FX553" s="10"/>
      <c r="FY553" s="10"/>
      <c r="FZ553" s="10"/>
      <c r="GA553" s="10"/>
      <c r="GB553" s="10"/>
      <c r="GC553" s="10"/>
      <c r="GD553" s="10"/>
      <c r="GE553" s="10"/>
      <c r="GF553" s="10"/>
      <c r="GG553" s="10"/>
      <c r="GH553" s="10"/>
      <c r="GI553" s="10"/>
      <c r="GJ553" s="10"/>
      <c r="GK553" s="10"/>
      <c r="GL553" s="10"/>
      <c r="GM553" s="10"/>
      <c r="GN553" s="10"/>
      <c r="GO553" s="10"/>
      <c r="GP553" s="10"/>
      <c r="GQ553" s="10"/>
      <c r="GR553" s="10"/>
      <c r="GS553" s="10"/>
      <c r="GT553" s="10"/>
      <c r="GU553" s="10"/>
      <c r="GV553" s="10"/>
      <c r="GW553" s="10"/>
      <c r="GX553" s="10"/>
      <c r="GY553" s="10"/>
      <c r="GZ553" s="10"/>
      <c r="HA553" s="10"/>
      <c r="HB553" s="10"/>
      <c r="HC553" s="10"/>
      <c r="HD553" s="10"/>
      <c r="HE553" s="10"/>
      <c r="HF553" s="10"/>
      <c r="HG553" s="10"/>
      <c r="HH553" s="10"/>
      <c r="HI553" s="10"/>
      <c r="HJ553" s="10"/>
      <c r="HK553" s="10"/>
      <c r="HL553" s="10"/>
      <c r="HM553" s="10"/>
      <c r="HN553" s="10"/>
      <c r="HO553" s="10"/>
      <c r="HP553" s="10"/>
      <c r="HQ553" s="10"/>
      <c r="HR553" s="10"/>
      <c r="HS553" s="10"/>
      <c r="HT553" s="10"/>
      <c r="HU553" s="10"/>
      <c r="HV553" s="10"/>
      <c r="HW553" s="10"/>
      <c r="HX553" s="10"/>
      <c r="HY553" s="10"/>
      <c r="HZ553" s="10"/>
      <c r="IA553" s="10"/>
      <c r="IB553" s="10"/>
      <c r="IC553" s="10"/>
      <c r="ID553" s="10"/>
      <c r="IE553" s="10"/>
      <c r="IF553" s="10"/>
      <c r="IG553" s="10"/>
      <c r="IH553" s="10"/>
      <c r="II553" s="10"/>
      <c r="IJ553" s="10"/>
      <c r="IK553" s="10"/>
      <c r="IL553" s="10"/>
      <c r="IM553" s="10"/>
      <c r="IN553" s="10"/>
      <c r="IO553" s="10"/>
      <c r="IP553" s="10"/>
      <c r="IQ553" s="10"/>
      <c r="IR553" s="10"/>
      <c r="IS553" s="10"/>
      <c r="IT553" s="10"/>
      <c r="IU553" s="10"/>
      <c r="IV553" s="10"/>
      <c r="IW553" s="10"/>
    </row>
    <row r="554" spans="1:257">
      <c r="A554" s="34"/>
      <c r="B554" s="50"/>
      <c r="C554" s="24"/>
      <c r="D554" s="24"/>
      <c r="E554" s="24"/>
      <c r="F554" s="25"/>
      <c r="G554" s="25"/>
      <c r="H554" s="25"/>
      <c r="I554" s="25"/>
      <c r="J554" s="24"/>
      <c r="K554" s="25"/>
      <c r="L554" s="25"/>
      <c r="M554" s="25"/>
      <c r="N554" s="25"/>
      <c r="O554" s="25"/>
      <c r="P554" s="25"/>
      <c r="Q554" s="25"/>
      <c r="R554" s="24"/>
      <c r="S554" s="26">
        <f t="shared" si="34"/>
        <v>0</v>
      </c>
      <c r="T554" s="26">
        <f>COUNTIF($V$4:V554,V554)</f>
        <v>511</v>
      </c>
      <c r="U554" s="26" t="str">
        <f>IF(T554=1,COUNTIF($T$4:T554,1),"")</f>
        <v/>
      </c>
      <c r="V554" s="27" t="str">
        <f t="shared" si="36"/>
        <v/>
      </c>
      <c r="W554" s="27">
        <f t="shared" si="35"/>
        <v>0</v>
      </c>
      <c r="X554" s="28"/>
      <c r="Y554" s="27"/>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0"/>
      <c r="DJ554" s="10"/>
      <c r="DK554" s="10"/>
      <c r="DL554" s="10"/>
      <c r="DM554" s="10"/>
      <c r="DN554" s="10"/>
      <c r="DO554" s="10"/>
      <c r="DP554" s="10"/>
      <c r="DQ554" s="10"/>
      <c r="DR554" s="10"/>
      <c r="DS554" s="10"/>
      <c r="DT554" s="10"/>
      <c r="DU554" s="10"/>
      <c r="DV554" s="10"/>
      <c r="DW554" s="10"/>
      <c r="DX554" s="10"/>
      <c r="DY554" s="10"/>
      <c r="DZ554" s="10"/>
      <c r="EA554" s="10"/>
      <c r="EB554" s="10"/>
      <c r="EC554" s="10"/>
      <c r="ED554" s="10"/>
      <c r="EE554" s="10"/>
      <c r="EF554" s="10"/>
      <c r="EG554" s="10"/>
      <c r="EH554" s="10"/>
      <c r="EI554" s="10"/>
      <c r="EJ554" s="10"/>
      <c r="EK554" s="10"/>
      <c r="EL554" s="10"/>
      <c r="EM554" s="10"/>
      <c r="EN554" s="10"/>
      <c r="EO554" s="10"/>
      <c r="EP554" s="10"/>
      <c r="EQ554" s="10"/>
      <c r="ER554" s="10"/>
      <c r="ES554" s="10"/>
      <c r="ET554" s="10"/>
      <c r="EU554" s="10"/>
      <c r="EV554" s="10"/>
      <c r="EW554" s="10"/>
      <c r="EX554" s="10"/>
      <c r="EY554" s="10"/>
      <c r="EZ554" s="10"/>
      <c r="FA554" s="10"/>
      <c r="FB554" s="10"/>
      <c r="FC554" s="10"/>
      <c r="FD554" s="10"/>
      <c r="FE554" s="10"/>
      <c r="FF554" s="10"/>
      <c r="FG554" s="10"/>
      <c r="FH554" s="10"/>
      <c r="FI554" s="10"/>
      <c r="FJ554" s="10"/>
      <c r="FK554" s="10"/>
      <c r="FL554" s="10"/>
      <c r="FM554" s="10"/>
      <c r="FN554" s="10"/>
      <c r="FO554" s="10"/>
      <c r="FP554" s="10"/>
      <c r="FQ554" s="10"/>
      <c r="FR554" s="10"/>
      <c r="FS554" s="10"/>
      <c r="FT554" s="10"/>
      <c r="FU554" s="10"/>
      <c r="FV554" s="10"/>
      <c r="FW554" s="10"/>
      <c r="FX554" s="10"/>
      <c r="FY554" s="10"/>
      <c r="FZ554" s="10"/>
      <c r="GA554" s="10"/>
      <c r="GB554" s="10"/>
      <c r="GC554" s="10"/>
      <c r="GD554" s="10"/>
      <c r="GE554" s="10"/>
      <c r="GF554" s="10"/>
      <c r="GG554" s="10"/>
      <c r="GH554" s="10"/>
      <c r="GI554" s="10"/>
      <c r="GJ554" s="10"/>
      <c r="GK554" s="10"/>
      <c r="GL554" s="10"/>
      <c r="GM554" s="10"/>
      <c r="GN554" s="10"/>
      <c r="GO554" s="10"/>
      <c r="GP554" s="10"/>
      <c r="GQ554" s="10"/>
      <c r="GR554" s="10"/>
      <c r="GS554" s="10"/>
      <c r="GT554" s="10"/>
      <c r="GU554" s="10"/>
      <c r="GV554" s="10"/>
      <c r="GW554" s="10"/>
      <c r="GX554" s="10"/>
      <c r="GY554" s="10"/>
      <c r="GZ554" s="10"/>
      <c r="HA554" s="10"/>
      <c r="HB554" s="10"/>
      <c r="HC554" s="10"/>
      <c r="HD554" s="10"/>
      <c r="HE554" s="10"/>
      <c r="HF554" s="10"/>
      <c r="HG554" s="10"/>
      <c r="HH554" s="10"/>
      <c r="HI554" s="10"/>
      <c r="HJ554" s="10"/>
      <c r="HK554" s="10"/>
      <c r="HL554" s="10"/>
      <c r="HM554" s="10"/>
      <c r="HN554" s="10"/>
      <c r="HO554" s="10"/>
      <c r="HP554" s="10"/>
      <c r="HQ554" s="10"/>
      <c r="HR554" s="10"/>
      <c r="HS554" s="10"/>
      <c r="HT554" s="10"/>
      <c r="HU554" s="10"/>
      <c r="HV554" s="10"/>
      <c r="HW554" s="10"/>
      <c r="HX554" s="10"/>
      <c r="HY554" s="10"/>
      <c r="HZ554" s="10"/>
      <c r="IA554" s="10"/>
      <c r="IB554" s="10"/>
      <c r="IC554" s="10"/>
      <c r="ID554" s="10"/>
      <c r="IE554" s="10"/>
      <c r="IF554" s="10"/>
      <c r="IG554" s="10"/>
      <c r="IH554" s="10"/>
      <c r="II554" s="10"/>
      <c r="IJ554" s="10"/>
      <c r="IK554" s="10"/>
      <c r="IL554" s="10"/>
      <c r="IM554" s="10"/>
      <c r="IN554" s="10"/>
      <c r="IO554" s="10"/>
      <c r="IP554" s="10"/>
      <c r="IQ554" s="10"/>
      <c r="IR554" s="10"/>
      <c r="IS554" s="10"/>
      <c r="IT554" s="10"/>
      <c r="IU554" s="10"/>
      <c r="IV554" s="10"/>
      <c r="IW554" s="10"/>
    </row>
    <row r="555" spans="1:257">
      <c r="A555" s="34"/>
      <c r="B555" s="50"/>
      <c r="C555" s="24"/>
      <c r="D555" s="24"/>
      <c r="E555" s="24"/>
      <c r="F555" s="25"/>
      <c r="G555" s="25"/>
      <c r="H555" s="25"/>
      <c r="I555" s="25"/>
      <c r="J555" s="24"/>
      <c r="K555" s="25"/>
      <c r="L555" s="25"/>
      <c r="M555" s="25"/>
      <c r="N555" s="25"/>
      <c r="O555" s="25"/>
      <c r="P555" s="25"/>
      <c r="Q555" s="25"/>
      <c r="R555" s="24"/>
      <c r="S555" s="26">
        <f t="shared" si="34"/>
        <v>0</v>
      </c>
      <c r="T555" s="26">
        <f>COUNTIF($V$4:V555,V555)</f>
        <v>512</v>
      </c>
      <c r="U555" s="26" t="str">
        <f>IF(T555=1,COUNTIF($T$4:T555,1),"")</f>
        <v/>
      </c>
      <c r="V555" s="27" t="str">
        <f t="shared" si="36"/>
        <v/>
      </c>
      <c r="W555" s="27">
        <f t="shared" si="35"/>
        <v>0</v>
      </c>
      <c r="X555" s="28"/>
      <c r="Y555" s="27"/>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0"/>
      <c r="DJ555" s="10"/>
      <c r="DK555" s="10"/>
      <c r="DL555" s="10"/>
      <c r="DM555" s="10"/>
      <c r="DN555" s="10"/>
      <c r="DO555" s="10"/>
      <c r="DP555" s="10"/>
      <c r="DQ555" s="10"/>
      <c r="DR555" s="10"/>
      <c r="DS555" s="10"/>
      <c r="DT555" s="10"/>
      <c r="DU555" s="10"/>
      <c r="DV555" s="10"/>
      <c r="DW555" s="10"/>
      <c r="DX555" s="10"/>
      <c r="DY555" s="10"/>
      <c r="DZ555" s="10"/>
      <c r="EA555" s="10"/>
      <c r="EB555" s="10"/>
      <c r="EC555" s="10"/>
      <c r="ED555" s="10"/>
      <c r="EE555" s="10"/>
      <c r="EF555" s="10"/>
      <c r="EG555" s="10"/>
      <c r="EH555" s="10"/>
      <c r="EI555" s="10"/>
      <c r="EJ555" s="10"/>
      <c r="EK555" s="10"/>
      <c r="EL555" s="10"/>
      <c r="EM555" s="10"/>
      <c r="EN555" s="10"/>
      <c r="EO555" s="10"/>
      <c r="EP555" s="10"/>
      <c r="EQ555" s="10"/>
      <c r="ER555" s="10"/>
      <c r="ES555" s="10"/>
      <c r="ET555" s="10"/>
      <c r="EU555" s="10"/>
      <c r="EV555" s="10"/>
      <c r="EW555" s="10"/>
      <c r="EX555" s="10"/>
      <c r="EY555" s="10"/>
      <c r="EZ555" s="10"/>
      <c r="FA555" s="10"/>
      <c r="FB555" s="10"/>
      <c r="FC555" s="10"/>
      <c r="FD555" s="10"/>
      <c r="FE555" s="10"/>
      <c r="FF555" s="10"/>
      <c r="FG555" s="10"/>
      <c r="FH555" s="10"/>
      <c r="FI555" s="10"/>
      <c r="FJ555" s="10"/>
      <c r="FK555" s="10"/>
      <c r="FL555" s="10"/>
      <c r="FM555" s="10"/>
      <c r="FN555" s="10"/>
      <c r="FO555" s="10"/>
      <c r="FP555" s="10"/>
      <c r="FQ555" s="10"/>
      <c r="FR555" s="10"/>
      <c r="FS555" s="10"/>
      <c r="FT555" s="10"/>
      <c r="FU555" s="10"/>
      <c r="FV555" s="10"/>
      <c r="FW555" s="10"/>
      <c r="FX555" s="10"/>
      <c r="FY555" s="10"/>
      <c r="FZ555" s="10"/>
      <c r="GA555" s="10"/>
      <c r="GB555" s="10"/>
      <c r="GC555" s="10"/>
      <c r="GD555" s="10"/>
      <c r="GE555" s="10"/>
      <c r="GF555" s="10"/>
      <c r="GG555" s="10"/>
      <c r="GH555" s="10"/>
      <c r="GI555" s="10"/>
      <c r="GJ555" s="10"/>
      <c r="GK555" s="10"/>
      <c r="GL555" s="10"/>
      <c r="GM555" s="10"/>
      <c r="GN555" s="10"/>
      <c r="GO555" s="10"/>
      <c r="GP555" s="10"/>
      <c r="GQ555" s="10"/>
      <c r="GR555" s="10"/>
      <c r="GS555" s="10"/>
      <c r="GT555" s="10"/>
      <c r="GU555" s="10"/>
      <c r="GV555" s="10"/>
      <c r="GW555" s="10"/>
      <c r="GX555" s="10"/>
      <c r="GY555" s="10"/>
      <c r="GZ555" s="10"/>
      <c r="HA555" s="10"/>
      <c r="HB555" s="10"/>
      <c r="HC555" s="10"/>
      <c r="HD555" s="10"/>
      <c r="HE555" s="10"/>
      <c r="HF555" s="10"/>
      <c r="HG555" s="10"/>
      <c r="HH555" s="10"/>
      <c r="HI555" s="10"/>
      <c r="HJ555" s="10"/>
      <c r="HK555" s="10"/>
      <c r="HL555" s="10"/>
      <c r="HM555" s="10"/>
      <c r="HN555" s="10"/>
      <c r="HO555" s="10"/>
      <c r="HP555" s="10"/>
      <c r="HQ555" s="10"/>
      <c r="HR555" s="10"/>
      <c r="HS555" s="10"/>
      <c r="HT555" s="10"/>
      <c r="HU555" s="10"/>
      <c r="HV555" s="10"/>
      <c r="HW555" s="10"/>
      <c r="HX555" s="10"/>
      <c r="HY555" s="10"/>
      <c r="HZ555" s="10"/>
      <c r="IA555" s="10"/>
      <c r="IB555" s="10"/>
      <c r="IC555" s="10"/>
      <c r="ID555" s="10"/>
      <c r="IE555" s="10"/>
      <c r="IF555" s="10"/>
      <c r="IG555" s="10"/>
      <c r="IH555" s="10"/>
      <c r="II555" s="10"/>
      <c r="IJ555" s="10"/>
      <c r="IK555" s="10"/>
      <c r="IL555" s="10"/>
      <c r="IM555" s="10"/>
      <c r="IN555" s="10"/>
      <c r="IO555" s="10"/>
      <c r="IP555" s="10"/>
      <c r="IQ555" s="10"/>
      <c r="IR555" s="10"/>
      <c r="IS555" s="10"/>
      <c r="IT555" s="10"/>
      <c r="IU555" s="10"/>
      <c r="IV555" s="10"/>
      <c r="IW555" s="10"/>
    </row>
    <row r="556" spans="1:257">
      <c r="A556" s="34"/>
      <c r="B556" s="50"/>
      <c r="C556" s="24"/>
      <c r="D556" s="24"/>
      <c r="E556" s="24"/>
      <c r="F556" s="25"/>
      <c r="G556" s="25"/>
      <c r="H556" s="25"/>
      <c r="I556" s="25"/>
      <c r="J556" s="24"/>
      <c r="K556" s="25"/>
      <c r="L556" s="25"/>
      <c r="M556" s="25"/>
      <c r="N556" s="25"/>
      <c r="O556" s="25"/>
      <c r="P556" s="25"/>
      <c r="Q556" s="25"/>
      <c r="R556" s="24"/>
      <c r="S556" s="26">
        <f t="shared" si="34"/>
        <v>0</v>
      </c>
      <c r="T556" s="26">
        <f>COUNTIF($V$4:V556,V556)</f>
        <v>513</v>
      </c>
      <c r="U556" s="26" t="str">
        <f>IF(T556=1,COUNTIF($T$4:T556,1),"")</f>
        <v/>
      </c>
      <c r="V556" s="27" t="str">
        <f t="shared" si="36"/>
        <v/>
      </c>
      <c r="W556" s="27">
        <f t="shared" si="35"/>
        <v>0</v>
      </c>
      <c r="X556" s="28"/>
      <c r="Y556" s="27"/>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0"/>
      <c r="DJ556" s="10"/>
      <c r="DK556" s="10"/>
      <c r="DL556" s="10"/>
      <c r="DM556" s="10"/>
      <c r="DN556" s="10"/>
      <c r="DO556" s="10"/>
      <c r="DP556" s="10"/>
      <c r="DQ556" s="10"/>
      <c r="DR556" s="10"/>
      <c r="DS556" s="10"/>
      <c r="DT556" s="10"/>
      <c r="DU556" s="10"/>
      <c r="DV556" s="10"/>
      <c r="DW556" s="10"/>
      <c r="DX556" s="10"/>
      <c r="DY556" s="10"/>
      <c r="DZ556" s="10"/>
      <c r="EA556" s="10"/>
      <c r="EB556" s="10"/>
      <c r="EC556" s="10"/>
      <c r="ED556" s="10"/>
      <c r="EE556" s="10"/>
      <c r="EF556" s="10"/>
      <c r="EG556" s="10"/>
      <c r="EH556" s="10"/>
      <c r="EI556" s="10"/>
      <c r="EJ556" s="10"/>
      <c r="EK556" s="10"/>
      <c r="EL556" s="10"/>
      <c r="EM556" s="10"/>
      <c r="EN556" s="10"/>
      <c r="EO556" s="10"/>
      <c r="EP556" s="10"/>
      <c r="EQ556" s="10"/>
      <c r="ER556" s="10"/>
      <c r="ES556" s="10"/>
      <c r="ET556" s="10"/>
      <c r="EU556" s="10"/>
      <c r="EV556" s="10"/>
      <c r="EW556" s="10"/>
      <c r="EX556" s="10"/>
      <c r="EY556" s="10"/>
      <c r="EZ556" s="10"/>
      <c r="FA556" s="10"/>
      <c r="FB556" s="10"/>
      <c r="FC556" s="10"/>
      <c r="FD556" s="10"/>
      <c r="FE556" s="10"/>
      <c r="FF556" s="10"/>
      <c r="FG556" s="10"/>
      <c r="FH556" s="10"/>
      <c r="FI556" s="10"/>
      <c r="FJ556" s="10"/>
      <c r="FK556" s="10"/>
      <c r="FL556" s="10"/>
      <c r="FM556" s="10"/>
      <c r="FN556" s="10"/>
      <c r="FO556" s="10"/>
      <c r="FP556" s="10"/>
      <c r="FQ556" s="10"/>
      <c r="FR556" s="10"/>
      <c r="FS556" s="10"/>
      <c r="FT556" s="10"/>
      <c r="FU556" s="10"/>
      <c r="FV556" s="10"/>
      <c r="FW556" s="10"/>
      <c r="FX556" s="10"/>
      <c r="FY556" s="10"/>
      <c r="FZ556" s="10"/>
      <c r="GA556" s="10"/>
      <c r="GB556" s="10"/>
      <c r="GC556" s="10"/>
      <c r="GD556" s="10"/>
      <c r="GE556" s="10"/>
      <c r="GF556" s="10"/>
      <c r="GG556" s="10"/>
      <c r="GH556" s="10"/>
      <c r="GI556" s="10"/>
      <c r="GJ556" s="10"/>
      <c r="GK556" s="10"/>
      <c r="GL556" s="10"/>
      <c r="GM556" s="10"/>
      <c r="GN556" s="10"/>
      <c r="GO556" s="10"/>
      <c r="GP556" s="10"/>
      <c r="GQ556" s="10"/>
      <c r="GR556" s="10"/>
      <c r="GS556" s="10"/>
      <c r="GT556" s="10"/>
      <c r="GU556" s="10"/>
      <c r="GV556" s="10"/>
      <c r="GW556" s="10"/>
      <c r="GX556" s="10"/>
      <c r="GY556" s="10"/>
      <c r="GZ556" s="10"/>
      <c r="HA556" s="10"/>
      <c r="HB556" s="10"/>
      <c r="HC556" s="10"/>
      <c r="HD556" s="10"/>
      <c r="HE556" s="10"/>
      <c r="HF556" s="10"/>
      <c r="HG556" s="10"/>
      <c r="HH556" s="10"/>
      <c r="HI556" s="10"/>
      <c r="HJ556" s="10"/>
      <c r="HK556" s="10"/>
      <c r="HL556" s="10"/>
      <c r="HM556" s="10"/>
      <c r="HN556" s="10"/>
      <c r="HO556" s="10"/>
      <c r="HP556" s="10"/>
      <c r="HQ556" s="10"/>
      <c r="HR556" s="10"/>
      <c r="HS556" s="10"/>
      <c r="HT556" s="10"/>
      <c r="HU556" s="10"/>
      <c r="HV556" s="10"/>
      <c r="HW556" s="10"/>
      <c r="HX556" s="10"/>
      <c r="HY556" s="10"/>
      <c r="HZ556" s="10"/>
      <c r="IA556" s="10"/>
      <c r="IB556" s="10"/>
      <c r="IC556" s="10"/>
      <c r="ID556" s="10"/>
      <c r="IE556" s="10"/>
      <c r="IF556" s="10"/>
      <c r="IG556" s="10"/>
      <c r="IH556" s="10"/>
      <c r="II556" s="10"/>
      <c r="IJ556" s="10"/>
      <c r="IK556" s="10"/>
      <c r="IL556" s="10"/>
      <c r="IM556" s="10"/>
      <c r="IN556" s="10"/>
      <c r="IO556" s="10"/>
      <c r="IP556" s="10"/>
      <c r="IQ556" s="10"/>
      <c r="IR556" s="10"/>
      <c r="IS556" s="10"/>
      <c r="IT556" s="10"/>
      <c r="IU556" s="10"/>
      <c r="IV556" s="10"/>
      <c r="IW556" s="10"/>
    </row>
    <row r="557" spans="1:257">
      <c r="A557" s="34"/>
      <c r="B557" s="50"/>
      <c r="C557" s="24"/>
      <c r="D557" s="24"/>
      <c r="E557" s="24"/>
      <c r="F557" s="25"/>
      <c r="G557" s="25"/>
      <c r="H557" s="25"/>
      <c r="I557" s="25"/>
      <c r="J557" s="25"/>
      <c r="K557" s="25"/>
      <c r="L557" s="25"/>
      <c r="M557" s="25"/>
      <c r="N557" s="25"/>
      <c r="O557" s="25"/>
      <c r="P557" s="25"/>
      <c r="Q557" s="25"/>
      <c r="R557" s="24"/>
      <c r="S557" s="26">
        <f t="shared" si="34"/>
        <v>0</v>
      </c>
      <c r="T557" s="26">
        <f>COUNTIF($V$4:V557,V557)</f>
        <v>514</v>
      </c>
      <c r="U557" s="26" t="str">
        <f>IF(T557=1,COUNTIF($T$4:T557,1),"")</f>
        <v/>
      </c>
      <c r="V557" s="27" t="str">
        <f t="shared" si="36"/>
        <v/>
      </c>
      <c r="W557" s="27">
        <f t="shared" si="35"/>
        <v>0</v>
      </c>
      <c r="X557" s="28"/>
      <c r="Y557" s="27"/>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c r="DR557" s="10"/>
      <c r="DS557" s="10"/>
      <c r="DT557" s="10"/>
      <c r="DU557" s="10"/>
      <c r="DV557" s="10"/>
      <c r="DW557" s="10"/>
      <c r="DX557" s="10"/>
      <c r="DY557" s="10"/>
      <c r="DZ557" s="10"/>
      <c r="EA557" s="10"/>
      <c r="EB557" s="10"/>
      <c r="EC557" s="10"/>
      <c r="ED557" s="10"/>
      <c r="EE557" s="10"/>
      <c r="EF557" s="10"/>
      <c r="EG557" s="10"/>
      <c r="EH557" s="10"/>
      <c r="EI557" s="10"/>
      <c r="EJ557" s="10"/>
      <c r="EK557" s="10"/>
      <c r="EL557" s="10"/>
      <c r="EM557" s="10"/>
      <c r="EN557" s="10"/>
      <c r="EO557" s="10"/>
      <c r="EP557" s="10"/>
      <c r="EQ557" s="10"/>
      <c r="ER557" s="10"/>
      <c r="ES557" s="10"/>
      <c r="ET557" s="10"/>
      <c r="EU557" s="10"/>
      <c r="EV557" s="10"/>
      <c r="EW557" s="10"/>
      <c r="EX557" s="10"/>
      <c r="EY557" s="10"/>
      <c r="EZ557" s="10"/>
      <c r="FA557" s="10"/>
      <c r="FB557" s="10"/>
      <c r="FC557" s="10"/>
      <c r="FD557" s="10"/>
      <c r="FE557" s="10"/>
      <c r="FF557" s="10"/>
      <c r="FG557" s="10"/>
      <c r="FH557" s="10"/>
      <c r="FI557" s="10"/>
      <c r="FJ557" s="10"/>
      <c r="FK557" s="10"/>
      <c r="FL557" s="10"/>
      <c r="FM557" s="10"/>
      <c r="FN557" s="10"/>
      <c r="FO557" s="10"/>
      <c r="FP557" s="10"/>
      <c r="FQ557" s="10"/>
      <c r="FR557" s="10"/>
      <c r="FS557" s="10"/>
      <c r="FT557" s="10"/>
      <c r="FU557" s="10"/>
      <c r="FV557" s="10"/>
      <c r="FW557" s="10"/>
      <c r="FX557" s="10"/>
      <c r="FY557" s="10"/>
      <c r="FZ557" s="10"/>
      <c r="GA557" s="10"/>
      <c r="GB557" s="10"/>
      <c r="GC557" s="10"/>
      <c r="GD557" s="10"/>
      <c r="GE557" s="10"/>
      <c r="GF557" s="10"/>
      <c r="GG557" s="10"/>
      <c r="GH557" s="10"/>
      <c r="GI557" s="10"/>
      <c r="GJ557" s="10"/>
      <c r="GK557" s="10"/>
      <c r="GL557" s="10"/>
      <c r="GM557" s="10"/>
      <c r="GN557" s="10"/>
      <c r="GO557" s="10"/>
      <c r="GP557" s="10"/>
      <c r="GQ557" s="10"/>
      <c r="GR557" s="10"/>
      <c r="GS557" s="10"/>
      <c r="GT557" s="10"/>
      <c r="GU557" s="10"/>
      <c r="GV557" s="10"/>
      <c r="GW557" s="10"/>
      <c r="GX557" s="10"/>
      <c r="GY557" s="10"/>
      <c r="GZ557" s="10"/>
      <c r="HA557" s="10"/>
      <c r="HB557" s="10"/>
      <c r="HC557" s="10"/>
      <c r="HD557" s="10"/>
      <c r="HE557" s="10"/>
      <c r="HF557" s="10"/>
      <c r="HG557" s="10"/>
      <c r="HH557" s="10"/>
      <c r="HI557" s="10"/>
      <c r="HJ557" s="10"/>
      <c r="HK557" s="10"/>
      <c r="HL557" s="10"/>
      <c r="HM557" s="10"/>
      <c r="HN557" s="10"/>
      <c r="HO557" s="10"/>
      <c r="HP557" s="10"/>
      <c r="HQ557" s="10"/>
      <c r="HR557" s="10"/>
      <c r="HS557" s="10"/>
      <c r="HT557" s="10"/>
      <c r="HU557" s="10"/>
      <c r="HV557" s="10"/>
      <c r="HW557" s="10"/>
      <c r="HX557" s="10"/>
      <c r="HY557" s="10"/>
      <c r="HZ557" s="10"/>
      <c r="IA557" s="10"/>
      <c r="IB557" s="10"/>
      <c r="IC557" s="10"/>
      <c r="ID557" s="10"/>
      <c r="IE557" s="10"/>
      <c r="IF557" s="10"/>
      <c r="IG557" s="10"/>
      <c r="IH557" s="10"/>
      <c r="II557" s="10"/>
      <c r="IJ557" s="10"/>
      <c r="IK557" s="10"/>
      <c r="IL557" s="10"/>
      <c r="IM557" s="10"/>
      <c r="IN557" s="10"/>
      <c r="IO557" s="10"/>
      <c r="IP557" s="10"/>
      <c r="IQ557" s="10"/>
      <c r="IR557" s="10"/>
      <c r="IS557" s="10"/>
      <c r="IT557" s="10"/>
      <c r="IU557" s="10"/>
      <c r="IV557" s="10"/>
      <c r="IW557" s="10"/>
    </row>
    <row r="558" spans="1:257">
      <c r="A558" s="34"/>
      <c r="B558" s="50"/>
      <c r="C558" s="24"/>
      <c r="D558" s="24"/>
      <c r="E558" s="24"/>
      <c r="F558" s="25"/>
      <c r="G558" s="25"/>
      <c r="H558" s="25"/>
      <c r="I558" s="25"/>
      <c r="J558" s="25"/>
      <c r="K558" s="25"/>
      <c r="L558" s="25"/>
      <c r="M558" s="25"/>
      <c r="N558" s="25"/>
      <c r="O558" s="25"/>
      <c r="P558" s="25"/>
      <c r="Q558" s="25"/>
      <c r="R558" s="24"/>
      <c r="S558" s="26">
        <f t="shared" si="34"/>
        <v>0</v>
      </c>
      <c r="T558" s="26">
        <f>COUNTIF($V$4:V558,V558)</f>
        <v>515</v>
      </c>
      <c r="U558" s="26" t="str">
        <f>IF(T558=1,COUNTIF($T$4:T558,1),"")</f>
        <v/>
      </c>
      <c r="V558" s="27" t="str">
        <f t="shared" si="36"/>
        <v/>
      </c>
      <c r="W558" s="27">
        <f t="shared" si="35"/>
        <v>0</v>
      </c>
      <c r="X558" s="28"/>
      <c r="Y558" s="27"/>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0"/>
      <c r="DJ558" s="10"/>
      <c r="DK558" s="10"/>
      <c r="DL558" s="10"/>
      <c r="DM558" s="10"/>
      <c r="DN558" s="10"/>
      <c r="DO558" s="10"/>
      <c r="DP558" s="10"/>
      <c r="DQ558" s="10"/>
      <c r="DR558" s="10"/>
      <c r="DS558" s="10"/>
      <c r="DT558" s="10"/>
      <c r="DU558" s="10"/>
      <c r="DV558" s="10"/>
      <c r="DW558" s="10"/>
      <c r="DX558" s="10"/>
      <c r="DY558" s="10"/>
      <c r="DZ558" s="10"/>
      <c r="EA558" s="10"/>
      <c r="EB558" s="10"/>
      <c r="EC558" s="10"/>
      <c r="ED558" s="10"/>
      <c r="EE558" s="10"/>
      <c r="EF558" s="10"/>
      <c r="EG558" s="10"/>
      <c r="EH558" s="10"/>
      <c r="EI558" s="10"/>
      <c r="EJ558" s="10"/>
      <c r="EK558" s="10"/>
      <c r="EL558" s="10"/>
      <c r="EM558" s="10"/>
      <c r="EN558" s="10"/>
      <c r="EO558" s="10"/>
      <c r="EP558" s="10"/>
      <c r="EQ558" s="10"/>
      <c r="ER558" s="10"/>
      <c r="ES558" s="10"/>
      <c r="ET558" s="10"/>
      <c r="EU558" s="10"/>
      <c r="EV558" s="10"/>
      <c r="EW558" s="10"/>
      <c r="EX558" s="10"/>
      <c r="EY558" s="10"/>
      <c r="EZ558" s="10"/>
      <c r="FA558" s="10"/>
      <c r="FB558" s="10"/>
      <c r="FC558" s="10"/>
      <c r="FD558" s="10"/>
      <c r="FE558" s="10"/>
      <c r="FF558" s="10"/>
      <c r="FG558" s="10"/>
      <c r="FH558" s="10"/>
      <c r="FI558" s="10"/>
      <c r="FJ558" s="10"/>
      <c r="FK558" s="10"/>
      <c r="FL558" s="10"/>
      <c r="FM558" s="10"/>
      <c r="FN558" s="10"/>
      <c r="FO558" s="10"/>
      <c r="FP558" s="10"/>
      <c r="FQ558" s="10"/>
      <c r="FR558" s="10"/>
      <c r="FS558" s="10"/>
      <c r="FT558" s="10"/>
      <c r="FU558" s="10"/>
      <c r="FV558" s="10"/>
      <c r="FW558" s="10"/>
      <c r="FX558" s="10"/>
      <c r="FY558" s="10"/>
      <c r="FZ558" s="10"/>
      <c r="GA558" s="10"/>
      <c r="GB558" s="10"/>
      <c r="GC558" s="10"/>
      <c r="GD558" s="10"/>
      <c r="GE558" s="10"/>
      <c r="GF558" s="10"/>
      <c r="GG558" s="10"/>
      <c r="GH558" s="10"/>
      <c r="GI558" s="10"/>
      <c r="GJ558" s="10"/>
      <c r="GK558" s="10"/>
      <c r="GL558" s="10"/>
      <c r="GM558" s="10"/>
      <c r="GN558" s="10"/>
      <c r="GO558" s="10"/>
      <c r="GP558" s="10"/>
      <c r="GQ558" s="10"/>
      <c r="GR558" s="10"/>
      <c r="GS558" s="10"/>
      <c r="GT558" s="10"/>
      <c r="GU558" s="10"/>
      <c r="GV558" s="10"/>
      <c r="GW558" s="10"/>
      <c r="GX558" s="10"/>
      <c r="GY558" s="10"/>
      <c r="GZ558" s="10"/>
      <c r="HA558" s="10"/>
      <c r="HB558" s="10"/>
      <c r="HC558" s="10"/>
      <c r="HD558" s="10"/>
      <c r="HE558" s="10"/>
      <c r="HF558" s="10"/>
      <c r="HG558" s="10"/>
      <c r="HH558" s="10"/>
      <c r="HI558" s="10"/>
      <c r="HJ558" s="10"/>
      <c r="HK558" s="10"/>
      <c r="HL558" s="10"/>
      <c r="HM558" s="10"/>
      <c r="HN558" s="10"/>
      <c r="HO558" s="10"/>
      <c r="HP558" s="10"/>
      <c r="HQ558" s="10"/>
      <c r="HR558" s="10"/>
      <c r="HS558" s="10"/>
      <c r="HT558" s="10"/>
      <c r="HU558" s="10"/>
      <c r="HV558" s="10"/>
      <c r="HW558" s="10"/>
      <c r="HX558" s="10"/>
      <c r="HY558" s="10"/>
      <c r="HZ558" s="10"/>
      <c r="IA558" s="10"/>
      <c r="IB558" s="10"/>
      <c r="IC558" s="10"/>
      <c r="ID558" s="10"/>
      <c r="IE558" s="10"/>
      <c r="IF558" s="10"/>
      <c r="IG558" s="10"/>
      <c r="IH558" s="10"/>
      <c r="II558" s="10"/>
      <c r="IJ558" s="10"/>
      <c r="IK558" s="10"/>
      <c r="IL558" s="10"/>
      <c r="IM558" s="10"/>
      <c r="IN558" s="10"/>
      <c r="IO558" s="10"/>
      <c r="IP558" s="10"/>
      <c r="IQ558" s="10"/>
      <c r="IR558" s="10"/>
      <c r="IS558" s="10"/>
      <c r="IT558" s="10"/>
      <c r="IU558" s="10"/>
      <c r="IV558" s="10"/>
      <c r="IW558" s="10"/>
    </row>
    <row r="559" spans="1:257">
      <c r="A559" s="34"/>
      <c r="B559" s="50"/>
      <c r="C559" s="24"/>
      <c r="D559" s="24"/>
      <c r="E559" s="24"/>
      <c r="F559" s="25"/>
      <c r="G559" s="25"/>
      <c r="H559" s="25"/>
      <c r="I559" s="25"/>
      <c r="J559" s="25"/>
      <c r="K559" s="25"/>
      <c r="L559" s="25"/>
      <c r="M559" s="25"/>
      <c r="N559" s="25"/>
      <c r="O559" s="25"/>
      <c r="P559" s="25"/>
      <c r="Q559" s="25"/>
      <c r="R559" s="24"/>
      <c r="S559" s="26">
        <f t="shared" si="34"/>
        <v>0</v>
      </c>
      <c r="T559" s="26">
        <f>COUNTIF($V$4:V559,V559)</f>
        <v>516</v>
      </c>
      <c r="U559" s="26" t="str">
        <f>IF(T559=1,COUNTIF($T$4:T559,1),"")</f>
        <v/>
      </c>
      <c r="V559" s="27" t="str">
        <f t="shared" si="36"/>
        <v/>
      </c>
      <c r="W559" s="27">
        <f t="shared" si="35"/>
        <v>0</v>
      </c>
      <c r="X559" s="28"/>
      <c r="Y559" s="27"/>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c r="EX559" s="10"/>
      <c r="EY559" s="10"/>
      <c r="EZ559" s="10"/>
      <c r="FA559" s="10"/>
      <c r="FB559" s="10"/>
      <c r="FC559" s="10"/>
      <c r="FD559" s="10"/>
      <c r="FE559" s="10"/>
      <c r="FF559" s="10"/>
      <c r="FG559" s="10"/>
      <c r="FH559" s="10"/>
      <c r="FI559" s="10"/>
      <c r="FJ559" s="10"/>
      <c r="FK559" s="10"/>
      <c r="FL559" s="10"/>
      <c r="FM559" s="10"/>
      <c r="FN559" s="10"/>
      <c r="FO559" s="10"/>
      <c r="FP559" s="10"/>
      <c r="FQ559" s="10"/>
      <c r="FR559" s="10"/>
      <c r="FS559" s="10"/>
      <c r="FT559" s="10"/>
      <c r="FU559" s="10"/>
      <c r="FV559" s="10"/>
      <c r="FW559" s="10"/>
      <c r="FX559" s="10"/>
      <c r="FY559" s="10"/>
      <c r="FZ559" s="10"/>
      <c r="GA559" s="10"/>
      <c r="GB559" s="10"/>
      <c r="GC559" s="10"/>
      <c r="GD559" s="10"/>
      <c r="GE559" s="10"/>
      <c r="GF559" s="10"/>
      <c r="GG559" s="10"/>
      <c r="GH559" s="10"/>
      <c r="GI559" s="10"/>
      <c r="GJ559" s="10"/>
      <c r="GK559" s="10"/>
      <c r="GL559" s="10"/>
      <c r="GM559" s="10"/>
      <c r="GN559" s="10"/>
      <c r="GO559" s="10"/>
      <c r="GP559" s="10"/>
      <c r="GQ559" s="10"/>
      <c r="GR559" s="10"/>
      <c r="GS559" s="10"/>
      <c r="GT559" s="10"/>
      <c r="GU559" s="10"/>
      <c r="GV559" s="10"/>
      <c r="GW559" s="10"/>
      <c r="GX559" s="10"/>
      <c r="GY559" s="10"/>
      <c r="GZ559" s="10"/>
      <c r="HA559" s="10"/>
      <c r="HB559" s="10"/>
      <c r="HC559" s="10"/>
      <c r="HD559" s="10"/>
      <c r="HE559" s="10"/>
      <c r="HF559" s="10"/>
      <c r="HG559" s="10"/>
      <c r="HH559" s="10"/>
      <c r="HI559" s="10"/>
      <c r="HJ559" s="10"/>
      <c r="HK559" s="10"/>
      <c r="HL559" s="10"/>
      <c r="HM559" s="10"/>
      <c r="HN559" s="10"/>
      <c r="HO559" s="10"/>
      <c r="HP559" s="10"/>
      <c r="HQ559" s="10"/>
      <c r="HR559" s="10"/>
      <c r="HS559" s="10"/>
      <c r="HT559" s="10"/>
      <c r="HU559" s="10"/>
      <c r="HV559" s="10"/>
      <c r="HW559" s="10"/>
      <c r="HX559" s="10"/>
      <c r="HY559" s="10"/>
      <c r="HZ559" s="10"/>
      <c r="IA559" s="10"/>
      <c r="IB559" s="10"/>
      <c r="IC559" s="10"/>
      <c r="ID559" s="10"/>
      <c r="IE559" s="10"/>
      <c r="IF559" s="10"/>
      <c r="IG559" s="10"/>
      <c r="IH559" s="10"/>
      <c r="II559" s="10"/>
      <c r="IJ559" s="10"/>
      <c r="IK559" s="10"/>
      <c r="IL559" s="10"/>
      <c r="IM559" s="10"/>
      <c r="IN559" s="10"/>
      <c r="IO559" s="10"/>
      <c r="IP559" s="10"/>
      <c r="IQ559" s="10"/>
      <c r="IR559" s="10"/>
      <c r="IS559" s="10"/>
      <c r="IT559" s="10"/>
      <c r="IU559" s="10"/>
      <c r="IV559" s="10"/>
      <c r="IW559" s="10"/>
    </row>
    <row r="560" spans="1:257">
      <c r="A560" s="34"/>
      <c r="B560" s="50"/>
      <c r="C560" s="24"/>
      <c r="D560" s="24"/>
      <c r="E560" s="24"/>
      <c r="F560" s="25"/>
      <c r="G560" s="25"/>
      <c r="H560" s="25"/>
      <c r="I560" s="25"/>
      <c r="J560" s="25"/>
      <c r="K560" s="25"/>
      <c r="L560" s="25"/>
      <c r="M560" s="25"/>
      <c r="N560" s="25"/>
      <c r="O560" s="25"/>
      <c r="P560" s="25"/>
      <c r="Q560" s="25"/>
      <c r="R560" s="24"/>
      <c r="S560" s="26">
        <f t="shared" si="34"/>
        <v>0</v>
      </c>
      <c r="T560" s="26">
        <f>COUNTIF($V$4:V560,V560)</f>
        <v>517</v>
      </c>
      <c r="U560" s="26" t="str">
        <f>IF(T560=1,COUNTIF($T$4:T560,1),"")</f>
        <v/>
      </c>
      <c r="V560" s="27" t="str">
        <f t="shared" si="36"/>
        <v/>
      </c>
      <c r="W560" s="27">
        <f t="shared" si="35"/>
        <v>0</v>
      </c>
      <c r="X560" s="28"/>
      <c r="Y560" s="27"/>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c r="DO560" s="10"/>
      <c r="DP560" s="10"/>
      <c r="DQ560" s="10"/>
      <c r="DR560" s="10"/>
      <c r="DS560" s="10"/>
      <c r="DT560" s="10"/>
      <c r="DU560" s="10"/>
      <c r="DV560" s="10"/>
      <c r="DW560" s="10"/>
      <c r="DX560" s="10"/>
      <c r="DY560" s="10"/>
      <c r="DZ560" s="10"/>
      <c r="EA560" s="10"/>
      <c r="EB560" s="10"/>
      <c r="EC560" s="10"/>
      <c r="ED560" s="10"/>
      <c r="EE560" s="10"/>
      <c r="EF560" s="10"/>
      <c r="EG560" s="10"/>
      <c r="EH560" s="10"/>
      <c r="EI560" s="10"/>
      <c r="EJ560" s="10"/>
      <c r="EK560" s="10"/>
      <c r="EL560" s="10"/>
      <c r="EM560" s="10"/>
      <c r="EN560" s="10"/>
      <c r="EO560" s="10"/>
      <c r="EP560" s="10"/>
      <c r="EQ560" s="10"/>
      <c r="ER560" s="10"/>
      <c r="ES560" s="10"/>
      <c r="ET560" s="10"/>
      <c r="EU560" s="10"/>
      <c r="EV560" s="10"/>
      <c r="EW560" s="10"/>
      <c r="EX560" s="10"/>
      <c r="EY560" s="10"/>
      <c r="EZ560" s="10"/>
      <c r="FA560" s="10"/>
      <c r="FB560" s="10"/>
      <c r="FC560" s="10"/>
      <c r="FD560" s="10"/>
      <c r="FE560" s="10"/>
      <c r="FF560" s="10"/>
      <c r="FG560" s="10"/>
      <c r="FH560" s="10"/>
      <c r="FI560" s="10"/>
      <c r="FJ560" s="10"/>
      <c r="FK560" s="10"/>
      <c r="FL560" s="10"/>
      <c r="FM560" s="10"/>
      <c r="FN560" s="10"/>
      <c r="FO560" s="10"/>
      <c r="FP560" s="10"/>
      <c r="FQ560" s="10"/>
      <c r="FR560" s="10"/>
      <c r="FS560" s="10"/>
      <c r="FT560" s="10"/>
      <c r="FU560" s="10"/>
      <c r="FV560" s="10"/>
      <c r="FW560" s="10"/>
      <c r="FX560" s="10"/>
      <c r="FY560" s="10"/>
      <c r="FZ560" s="10"/>
      <c r="GA560" s="10"/>
      <c r="GB560" s="10"/>
      <c r="GC560" s="10"/>
      <c r="GD560" s="10"/>
      <c r="GE560" s="10"/>
      <c r="GF560" s="10"/>
      <c r="GG560" s="10"/>
      <c r="GH560" s="10"/>
      <c r="GI560" s="10"/>
      <c r="GJ560" s="10"/>
      <c r="GK560" s="10"/>
      <c r="GL560" s="10"/>
      <c r="GM560" s="10"/>
      <c r="GN560" s="10"/>
      <c r="GO560" s="10"/>
      <c r="GP560" s="10"/>
      <c r="GQ560" s="10"/>
      <c r="GR560" s="10"/>
      <c r="GS560" s="10"/>
      <c r="GT560" s="10"/>
      <c r="GU560" s="10"/>
      <c r="GV560" s="10"/>
      <c r="GW560" s="10"/>
      <c r="GX560" s="10"/>
      <c r="GY560" s="10"/>
      <c r="GZ560" s="10"/>
      <c r="HA560" s="10"/>
      <c r="HB560" s="10"/>
      <c r="HC560" s="10"/>
      <c r="HD560" s="10"/>
      <c r="HE560" s="10"/>
      <c r="HF560" s="10"/>
      <c r="HG560" s="10"/>
      <c r="HH560" s="10"/>
      <c r="HI560" s="10"/>
      <c r="HJ560" s="10"/>
      <c r="HK560" s="10"/>
      <c r="HL560" s="10"/>
      <c r="HM560" s="10"/>
      <c r="HN560" s="10"/>
      <c r="HO560" s="10"/>
      <c r="HP560" s="10"/>
      <c r="HQ560" s="10"/>
      <c r="HR560" s="10"/>
      <c r="HS560" s="10"/>
      <c r="HT560" s="10"/>
      <c r="HU560" s="10"/>
      <c r="HV560" s="10"/>
      <c r="HW560" s="10"/>
      <c r="HX560" s="10"/>
      <c r="HY560" s="10"/>
      <c r="HZ560" s="10"/>
      <c r="IA560" s="10"/>
      <c r="IB560" s="10"/>
      <c r="IC560" s="10"/>
      <c r="ID560" s="10"/>
      <c r="IE560" s="10"/>
      <c r="IF560" s="10"/>
      <c r="IG560" s="10"/>
      <c r="IH560" s="10"/>
      <c r="II560" s="10"/>
      <c r="IJ560" s="10"/>
      <c r="IK560" s="10"/>
      <c r="IL560" s="10"/>
      <c r="IM560" s="10"/>
      <c r="IN560" s="10"/>
      <c r="IO560" s="10"/>
      <c r="IP560" s="10"/>
      <c r="IQ560" s="10"/>
      <c r="IR560" s="10"/>
      <c r="IS560" s="10"/>
      <c r="IT560" s="10"/>
      <c r="IU560" s="10"/>
      <c r="IV560" s="10"/>
      <c r="IW560" s="10"/>
    </row>
    <row r="561" spans="1:257">
      <c r="A561" s="34"/>
      <c r="B561" s="50"/>
      <c r="C561" s="24"/>
      <c r="D561" s="24"/>
      <c r="E561" s="24"/>
      <c r="F561" s="25"/>
      <c r="G561" s="25"/>
      <c r="H561" s="25"/>
      <c r="I561" s="25"/>
      <c r="J561" s="25"/>
      <c r="K561" s="25"/>
      <c r="L561" s="25"/>
      <c r="M561" s="25"/>
      <c r="N561" s="25"/>
      <c r="O561" s="25"/>
      <c r="P561" s="25"/>
      <c r="Q561" s="25"/>
      <c r="R561" s="24"/>
      <c r="S561" s="26">
        <f t="shared" si="34"/>
        <v>0</v>
      </c>
      <c r="T561" s="26">
        <f>COUNTIF($V$4:V561,V561)</f>
        <v>518</v>
      </c>
      <c r="U561" s="26" t="str">
        <f>IF(T561=1,COUNTIF($T$4:T561,1),"")</f>
        <v/>
      </c>
      <c r="V561" s="27" t="str">
        <f t="shared" si="36"/>
        <v/>
      </c>
      <c r="W561" s="27">
        <f t="shared" si="35"/>
        <v>0</v>
      </c>
      <c r="X561" s="28"/>
      <c r="Y561" s="27"/>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c r="DO561" s="10"/>
      <c r="DP561" s="10"/>
      <c r="DQ561" s="10"/>
      <c r="DR561" s="10"/>
      <c r="DS561" s="10"/>
      <c r="DT561" s="10"/>
      <c r="DU561" s="10"/>
      <c r="DV561" s="10"/>
      <c r="DW561" s="10"/>
      <c r="DX561" s="10"/>
      <c r="DY561" s="10"/>
      <c r="DZ561" s="10"/>
      <c r="EA561" s="10"/>
      <c r="EB561" s="10"/>
      <c r="EC561" s="10"/>
      <c r="ED561" s="10"/>
      <c r="EE561" s="10"/>
      <c r="EF561" s="10"/>
      <c r="EG561" s="10"/>
      <c r="EH561" s="10"/>
      <c r="EI561" s="10"/>
      <c r="EJ561" s="10"/>
      <c r="EK561" s="10"/>
      <c r="EL561" s="10"/>
      <c r="EM561" s="10"/>
      <c r="EN561" s="10"/>
      <c r="EO561" s="10"/>
      <c r="EP561" s="10"/>
      <c r="EQ561" s="10"/>
      <c r="ER561" s="10"/>
      <c r="ES561" s="10"/>
      <c r="ET561" s="10"/>
      <c r="EU561" s="10"/>
      <c r="EV561" s="10"/>
      <c r="EW561" s="10"/>
      <c r="EX561" s="10"/>
      <c r="EY561" s="10"/>
      <c r="EZ561" s="10"/>
      <c r="FA561" s="10"/>
      <c r="FB561" s="10"/>
      <c r="FC561" s="10"/>
      <c r="FD561" s="10"/>
      <c r="FE561" s="10"/>
      <c r="FF561" s="10"/>
      <c r="FG561" s="10"/>
      <c r="FH561" s="10"/>
      <c r="FI561" s="10"/>
      <c r="FJ561" s="10"/>
      <c r="FK561" s="10"/>
      <c r="FL561" s="10"/>
      <c r="FM561" s="10"/>
      <c r="FN561" s="10"/>
      <c r="FO561" s="10"/>
      <c r="FP561" s="10"/>
      <c r="FQ561" s="10"/>
      <c r="FR561" s="10"/>
      <c r="FS561" s="10"/>
      <c r="FT561" s="10"/>
      <c r="FU561" s="10"/>
      <c r="FV561" s="10"/>
      <c r="FW561" s="10"/>
      <c r="FX561" s="10"/>
      <c r="FY561" s="10"/>
      <c r="FZ561" s="10"/>
      <c r="GA561" s="10"/>
      <c r="GB561" s="10"/>
      <c r="GC561" s="10"/>
      <c r="GD561" s="10"/>
      <c r="GE561" s="10"/>
      <c r="GF561" s="10"/>
      <c r="GG561" s="10"/>
      <c r="GH561" s="10"/>
      <c r="GI561" s="10"/>
      <c r="GJ561" s="10"/>
      <c r="GK561" s="10"/>
      <c r="GL561" s="10"/>
      <c r="GM561" s="10"/>
      <c r="GN561" s="10"/>
      <c r="GO561" s="10"/>
      <c r="GP561" s="10"/>
      <c r="GQ561" s="10"/>
      <c r="GR561" s="10"/>
      <c r="GS561" s="10"/>
      <c r="GT561" s="10"/>
      <c r="GU561" s="10"/>
      <c r="GV561" s="10"/>
      <c r="GW561" s="10"/>
      <c r="GX561" s="10"/>
      <c r="GY561" s="10"/>
      <c r="GZ561" s="10"/>
      <c r="HA561" s="10"/>
      <c r="HB561" s="10"/>
      <c r="HC561" s="10"/>
      <c r="HD561" s="10"/>
      <c r="HE561" s="10"/>
      <c r="HF561" s="10"/>
      <c r="HG561" s="10"/>
      <c r="HH561" s="10"/>
      <c r="HI561" s="10"/>
      <c r="HJ561" s="10"/>
      <c r="HK561" s="10"/>
      <c r="HL561" s="10"/>
      <c r="HM561" s="10"/>
      <c r="HN561" s="10"/>
      <c r="HO561" s="10"/>
      <c r="HP561" s="10"/>
      <c r="HQ561" s="10"/>
      <c r="HR561" s="10"/>
      <c r="HS561" s="10"/>
      <c r="HT561" s="10"/>
      <c r="HU561" s="10"/>
      <c r="HV561" s="10"/>
      <c r="HW561" s="10"/>
      <c r="HX561" s="10"/>
      <c r="HY561" s="10"/>
      <c r="HZ561" s="10"/>
      <c r="IA561" s="10"/>
      <c r="IB561" s="10"/>
      <c r="IC561" s="10"/>
      <c r="ID561" s="10"/>
      <c r="IE561" s="10"/>
      <c r="IF561" s="10"/>
      <c r="IG561" s="10"/>
      <c r="IH561" s="10"/>
      <c r="II561" s="10"/>
      <c r="IJ561" s="10"/>
      <c r="IK561" s="10"/>
      <c r="IL561" s="10"/>
      <c r="IM561" s="10"/>
      <c r="IN561" s="10"/>
      <c r="IO561" s="10"/>
      <c r="IP561" s="10"/>
      <c r="IQ561" s="10"/>
      <c r="IR561" s="10"/>
      <c r="IS561" s="10"/>
      <c r="IT561" s="10"/>
      <c r="IU561" s="10"/>
      <c r="IV561" s="10"/>
      <c r="IW561" s="10"/>
    </row>
    <row r="562" spans="1:257">
      <c r="A562" s="34"/>
      <c r="B562" s="50"/>
      <c r="C562" s="24"/>
      <c r="D562" s="24"/>
      <c r="E562" s="24"/>
      <c r="F562" s="25"/>
      <c r="G562" s="25"/>
      <c r="H562" s="25"/>
      <c r="I562" s="25"/>
      <c r="J562" s="25"/>
      <c r="K562" s="25"/>
      <c r="L562" s="25"/>
      <c r="M562" s="25"/>
      <c r="N562" s="25"/>
      <c r="O562" s="25"/>
      <c r="P562" s="25"/>
      <c r="Q562" s="25"/>
      <c r="R562" s="24"/>
      <c r="S562" s="26">
        <f t="shared" si="34"/>
        <v>0</v>
      </c>
      <c r="T562" s="26">
        <f>COUNTIF($V$4:V562,V562)</f>
        <v>519</v>
      </c>
      <c r="U562" s="26" t="str">
        <f>IF(T562=1,COUNTIF($T$4:T562,1),"")</f>
        <v/>
      </c>
      <c r="V562" s="27" t="str">
        <f t="shared" si="36"/>
        <v/>
      </c>
      <c r="W562" s="27">
        <f t="shared" si="35"/>
        <v>0</v>
      </c>
      <c r="X562" s="28"/>
      <c r="Y562" s="27"/>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c r="DO562" s="10"/>
      <c r="DP562" s="10"/>
      <c r="DQ562" s="10"/>
      <c r="DR562" s="10"/>
      <c r="DS562" s="10"/>
      <c r="DT562" s="10"/>
      <c r="DU562" s="10"/>
      <c r="DV562" s="10"/>
      <c r="DW562" s="10"/>
      <c r="DX562" s="10"/>
      <c r="DY562" s="10"/>
      <c r="DZ562" s="10"/>
      <c r="EA562" s="10"/>
      <c r="EB562" s="10"/>
      <c r="EC562" s="10"/>
      <c r="ED562" s="10"/>
      <c r="EE562" s="10"/>
      <c r="EF562" s="10"/>
      <c r="EG562" s="10"/>
      <c r="EH562" s="10"/>
      <c r="EI562" s="10"/>
      <c r="EJ562" s="10"/>
      <c r="EK562" s="10"/>
      <c r="EL562" s="10"/>
      <c r="EM562" s="10"/>
      <c r="EN562" s="10"/>
      <c r="EO562" s="10"/>
      <c r="EP562" s="10"/>
      <c r="EQ562" s="10"/>
      <c r="ER562" s="10"/>
      <c r="ES562" s="10"/>
      <c r="ET562" s="10"/>
      <c r="EU562" s="10"/>
      <c r="EV562" s="10"/>
      <c r="EW562" s="10"/>
      <c r="EX562" s="10"/>
      <c r="EY562" s="10"/>
      <c r="EZ562" s="10"/>
      <c r="FA562" s="10"/>
      <c r="FB562" s="10"/>
      <c r="FC562" s="10"/>
      <c r="FD562" s="10"/>
      <c r="FE562" s="10"/>
      <c r="FF562" s="10"/>
      <c r="FG562" s="10"/>
      <c r="FH562" s="10"/>
      <c r="FI562" s="10"/>
      <c r="FJ562" s="10"/>
      <c r="FK562" s="10"/>
      <c r="FL562" s="10"/>
      <c r="FM562" s="10"/>
      <c r="FN562" s="10"/>
      <c r="FO562" s="10"/>
      <c r="FP562" s="10"/>
      <c r="FQ562" s="10"/>
      <c r="FR562" s="10"/>
      <c r="FS562" s="10"/>
      <c r="FT562" s="10"/>
      <c r="FU562" s="10"/>
      <c r="FV562" s="10"/>
      <c r="FW562" s="10"/>
      <c r="FX562" s="10"/>
      <c r="FY562" s="10"/>
      <c r="FZ562" s="10"/>
      <c r="GA562" s="10"/>
      <c r="GB562" s="10"/>
      <c r="GC562" s="10"/>
      <c r="GD562" s="10"/>
      <c r="GE562" s="10"/>
      <c r="GF562" s="10"/>
      <c r="GG562" s="10"/>
      <c r="GH562" s="10"/>
      <c r="GI562" s="10"/>
      <c r="GJ562" s="10"/>
      <c r="GK562" s="10"/>
      <c r="GL562" s="10"/>
      <c r="GM562" s="10"/>
      <c r="GN562" s="10"/>
      <c r="GO562" s="10"/>
      <c r="GP562" s="10"/>
      <c r="GQ562" s="10"/>
      <c r="GR562" s="10"/>
      <c r="GS562" s="10"/>
      <c r="GT562" s="10"/>
      <c r="GU562" s="10"/>
      <c r="GV562" s="10"/>
      <c r="GW562" s="10"/>
      <c r="GX562" s="10"/>
      <c r="GY562" s="10"/>
      <c r="GZ562" s="10"/>
      <c r="HA562" s="10"/>
      <c r="HB562" s="10"/>
      <c r="HC562" s="10"/>
      <c r="HD562" s="10"/>
      <c r="HE562" s="10"/>
      <c r="HF562" s="10"/>
      <c r="HG562" s="10"/>
      <c r="HH562" s="10"/>
      <c r="HI562" s="10"/>
      <c r="HJ562" s="10"/>
      <c r="HK562" s="10"/>
      <c r="HL562" s="10"/>
      <c r="HM562" s="10"/>
      <c r="HN562" s="10"/>
      <c r="HO562" s="10"/>
      <c r="HP562" s="10"/>
      <c r="HQ562" s="10"/>
      <c r="HR562" s="10"/>
      <c r="HS562" s="10"/>
      <c r="HT562" s="10"/>
      <c r="HU562" s="10"/>
      <c r="HV562" s="10"/>
      <c r="HW562" s="10"/>
      <c r="HX562" s="10"/>
      <c r="HY562" s="10"/>
      <c r="HZ562" s="10"/>
      <c r="IA562" s="10"/>
      <c r="IB562" s="10"/>
      <c r="IC562" s="10"/>
      <c r="ID562" s="10"/>
      <c r="IE562" s="10"/>
      <c r="IF562" s="10"/>
      <c r="IG562" s="10"/>
      <c r="IH562" s="10"/>
      <c r="II562" s="10"/>
      <c r="IJ562" s="10"/>
      <c r="IK562" s="10"/>
      <c r="IL562" s="10"/>
      <c r="IM562" s="10"/>
      <c r="IN562" s="10"/>
      <c r="IO562" s="10"/>
      <c r="IP562" s="10"/>
      <c r="IQ562" s="10"/>
      <c r="IR562" s="10"/>
      <c r="IS562" s="10"/>
      <c r="IT562" s="10"/>
      <c r="IU562" s="10"/>
      <c r="IV562" s="10"/>
      <c r="IW562" s="10"/>
    </row>
    <row r="563" spans="1:257">
      <c r="A563" s="34"/>
      <c r="B563" s="50"/>
      <c r="C563" s="24"/>
      <c r="D563" s="24"/>
      <c r="E563" s="24"/>
      <c r="F563" s="25"/>
      <c r="G563" s="25"/>
      <c r="H563" s="25"/>
      <c r="I563" s="25"/>
      <c r="J563" s="25"/>
      <c r="K563" s="25"/>
      <c r="L563" s="25"/>
      <c r="M563" s="25"/>
      <c r="N563" s="25"/>
      <c r="O563" s="25"/>
      <c r="P563" s="25"/>
      <c r="Q563" s="25"/>
      <c r="R563" s="24"/>
      <c r="S563" s="26">
        <f t="shared" si="34"/>
        <v>0</v>
      </c>
      <c r="T563" s="26">
        <f>COUNTIF($V$4:V563,V563)</f>
        <v>520</v>
      </c>
      <c r="U563" s="26" t="str">
        <f>IF(T563=1,COUNTIF($T$4:T563,1),"")</f>
        <v/>
      </c>
      <c r="V563" s="27" t="str">
        <f t="shared" si="36"/>
        <v/>
      </c>
      <c r="W563" s="27">
        <f t="shared" si="35"/>
        <v>0</v>
      </c>
      <c r="X563" s="28"/>
      <c r="Y563" s="27"/>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c r="DO563" s="10"/>
      <c r="DP563" s="10"/>
      <c r="DQ563" s="10"/>
      <c r="DR563" s="10"/>
      <c r="DS563" s="10"/>
      <c r="DT563" s="10"/>
      <c r="DU563" s="10"/>
      <c r="DV563" s="10"/>
      <c r="DW563" s="10"/>
      <c r="DX563" s="10"/>
      <c r="DY563" s="10"/>
      <c r="DZ563" s="10"/>
      <c r="EA563" s="10"/>
      <c r="EB563" s="10"/>
      <c r="EC563" s="10"/>
      <c r="ED563" s="10"/>
      <c r="EE563" s="10"/>
      <c r="EF563" s="10"/>
      <c r="EG563" s="10"/>
      <c r="EH563" s="10"/>
      <c r="EI563" s="10"/>
      <c r="EJ563" s="10"/>
      <c r="EK563" s="10"/>
      <c r="EL563" s="10"/>
      <c r="EM563" s="10"/>
      <c r="EN563" s="10"/>
      <c r="EO563" s="10"/>
      <c r="EP563" s="10"/>
      <c r="EQ563" s="10"/>
      <c r="ER563" s="10"/>
      <c r="ES563" s="10"/>
      <c r="ET563" s="10"/>
      <c r="EU563" s="10"/>
      <c r="EV563" s="10"/>
      <c r="EW563" s="10"/>
      <c r="EX563" s="10"/>
      <c r="EY563" s="10"/>
      <c r="EZ563" s="10"/>
      <c r="FA563" s="10"/>
      <c r="FB563" s="10"/>
      <c r="FC563" s="10"/>
      <c r="FD563" s="10"/>
      <c r="FE563" s="10"/>
      <c r="FF563" s="10"/>
      <c r="FG563" s="10"/>
      <c r="FH563" s="10"/>
      <c r="FI563" s="10"/>
      <c r="FJ563" s="10"/>
      <c r="FK563" s="10"/>
      <c r="FL563" s="10"/>
      <c r="FM563" s="10"/>
      <c r="FN563" s="10"/>
      <c r="FO563" s="10"/>
      <c r="FP563" s="10"/>
      <c r="FQ563" s="10"/>
      <c r="FR563" s="10"/>
      <c r="FS563" s="10"/>
      <c r="FT563" s="10"/>
      <c r="FU563" s="10"/>
      <c r="FV563" s="10"/>
      <c r="FW563" s="10"/>
      <c r="FX563" s="10"/>
      <c r="FY563" s="10"/>
      <c r="FZ563" s="10"/>
      <c r="GA563" s="10"/>
      <c r="GB563" s="10"/>
      <c r="GC563" s="10"/>
      <c r="GD563" s="10"/>
      <c r="GE563" s="10"/>
      <c r="GF563" s="10"/>
      <c r="GG563" s="10"/>
      <c r="GH563" s="10"/>
      <c r="GI563" s="10"/>
      <c r="GJ563" s="10"/>
      <c r="GK563" s="10"/>
      <c r="GL563" s="10"/>
      <c r="GM563" s="10"/>
      <c r="GN563" s="10"/>
      <c r="GO563" s="10"/>
      <c r="GP563" s="10"/>
      <c r="GQ563" s="10"/>
      <c r="GR563" s="10"/>
      <c r="GS563" s="10"/>
      <c r="GT563" s="10"/>
      <c r="GU563" s="10"/>
      <c r="GV563" s="10"/>
      <c r="GW563" s="10"/>
      <c r="GX563" s="10"/>
      <c r="GY563" s="10"/>
      <c r="GZ563" s="10"/>
      <c r="HA563" s="10"/>
      <c r="HB563" s="10"/>
      <c r="HC563" s="10"/>
      <c r="HD563" s="10"/>
      <c r="HE563" s="10"/>
      <c r="HF563" s="10"/>
      <c r="HG563" s="10"/>
      <c r="HH563" s="10"/>
      <c r="HI563" s="10"/>
      <c r="HJ563" s="10"/>
      <c r="HK563" s="10"/>
      <c r="HL563" s="10"/>
      <c r="HM563" s="10"/>
      <c r="HN563" s="10"/>
      <c r="HO563" s="10"/>
      <c r="HP563" s="10"/>
      <c r="HQ563" s="10"/>
      <c r="HR563" s="10"/>
      <c r="HS563" s="10"/>
      <c r="HT563" s="10"/>
      <c r="HU563" s="10"/>
      <c r="HV563" s="10"/>
      <c r="HW563" s="10"/>
      <c r="HX563" s="10"/>
      <c r="HY563" s="10"/>
      <c r="HZ563" s="10"/>
      <c r="IA563" s="10"/>
      <c r="IB563" s="10"/>
      <c r="IC563" s="10"/>
      <c r="ID563" s="10"/>
      <c r="IE563" s="10"/>
      <c r="IF563" s="10"/>
      <c r="IG563" s="10"/>
      <c r="IH563" s="10"/>
      <c r="II563" s="10"/>
      <c r="IJ563" s="10"/>
      <c r="IK563" s="10"/>
      <c r="IL563" s="10"/>
      <c r="IM563" s="10"/>
      <c r="IN563" s="10"/>
      <c r="IO563" s="10"/>
      <c r="IP563" s="10"/>
      <c r="IQ563" s="10"/>
      <c r="IR563" s="10"/>
      <c r="IS563" s="10"/>
      <c r="IT563" s="10"/>
      <c r="IU563" s="10"/>
      <c r="IV563" s="10"/>
      <c r="IW563" s="10"/>
    </row>
    <row r="564" spans="1:257">
      <c r="A564" s="34"/>
      <c r="B564" s="50"/>
      <c r="C564" s="24"/>
      <c r="D564" s="24"/>
      <c r="E564" s="24"/>
      <c r="F564" s="25"/>
      <c r="G564" s="25"/>
      <c r="H564" s="25"/>
      <c r="I564" s="25"/>
      <c r="J564" s="25"/>
      <c r="K564" s="25"/>
      <c r="L564" s="25"/>
      <c r="M564" s="25"/>
      <c r="N564" s="25"/>
      <c r="O564" s="25"/>
      <c r="P564" s="25"/>
      <c r="Q564" s="25"/>
      <c r="R564" s="24"/>
      <c r="S564" s="26">
        <f t="shared" si="34"/>
        <v>0</v>
      </c>
      <c r="T564" s="26">
        <f>COUNTIF($V$4:V564,V564)</f>
        <v>521</v>
      </c>
      <c r="U564" s="26" t="str">
        <f>IF(T564=1,COUNTIF($T$4:T564,1),"")</f>
        <v/>
      </c>
      <c r="V564" s="27" t="str">
        <f t="shared" si="36"/>
        <v/>
      </c>
      <c r="W564" s="27">
        <f t="shared" si="35"/>
        <v>0</v>
      </c>
      <c r="X564" s="28"/>
      <c r="Y564" s="27"/>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c r="DO564" s="10"/>
      <c r="DP564" s="10"/>
      <c r="DQ564" s="10"/>
      <c r="DR564" s="10"/>
      <c r="DS564" s="10"/>
      <c r="DT564" s="10"/>
      <c r="DU564" s="10"/>
      <c r="DV564" s="10"/>
      <c r="DW564" s="10"/>
      <c r="DX564" s="10"/>
      <c r="DY564" s="10"/>
      <c r="DZ564" s="10"/>
      <c r="EA564" s="10"/>
      <c r="EB564" s="10"/>
      <c r="EC564" s="10"/>
      <c r="ED564" s="10"/>
      <c r="EE564" s="10"/>
      <c r="EF564" s="10"/>
      <c r="EG564" s="10"/>
      <c r="EH564" s="10"/>
      <c r="EI564" s="10"/>
      <c r="EJ564" s="10"/>
      <c r="EK564" s="10"/>
      <c r="EL564" s="10"/>
      <c r="EM564" s="10"/>
      <c r="EN564" s="10"/>
      <c r="EO564" s="10"/>
      <c r="EP564" s="10"/>
      <c r="EQ564" s="10"/>
      <c r="ER564" s="10"/>
      <c r="ES564" s="10"/>
      <c r="ET564" s="10"/>
      <c r="EU564" s="10"/>
      <c r="EV564" s="10"/>
      <c r="EW564" s="10"/>
      <c r="EX564" s="10"/>
      <c r="EY564" s="10"/>
      <c r="EZ564" s="10"/>
      <c r="FA564" s="10"/>
      <c r="FB564" s="10"/>
      <c r="FC564" s="10"/>
      <c r="FD564" s="10"/>
      <c r="FE564" s="10"/>
      <c r="FF564" s="10"/>
      <c r="FG564" s="10"/>
      <c r="FH564" s="10"/>
      <c r="FI564" s="10"/>
      <c r="FJ564" s="10"/>
      <c r="FK564" s="10"/>
      <c r="FL564" s="10"/>
      <c r="FM564" s="10"/>
      <c r="FN564" s="10"/>
      <c r="FO564" s="10"/>
      <c r="FP564" s="10"/>
      <c r="FQ564" s="10"/>
      <c r="FR564" s="10"/>
      <c r="FS564" s="10"/>
      <c r="FT564" s="10"/>
      <c r="FU564" s="10"/>
      <c r="FV564" s="10"/>
      <c r="FW564" s="10"/>
      <c r="FX564" s="10"/>
      <c r="FY564" s="10"/>
      <c r="FZ564" s="10"/>
      <c r="GA564" s="10"/>
      <c r="GB564" s="10"/>
      <c r="GC564" s="10"/>
      <c r="GD564" s="10"/>
      <c r="GE564" s="10"/>
      <c r="GF564" s="10"/>
      <c r="GG564" s="10"/>
      <c r="GH564" s="10"/>
      <c r="GI564" s="10"/>
      <c r="GJ564" s="10"/>
      <c r="GK564" s="10"/>
      <c r="GL564" s="10"/>
      <c r="GM564" s="10"/>
      <c r="GN564" s="10"/>
      <c r="GO564" s="10"/>
      <c r="GP564" s="10"/>
      <c r="GQ564" s="10"/>
      <c r="GR564" s="10"/>
      <c r="GS564" s="10"/>
      <c r="GT564" s="10"/>
      <c r="GU564" s="10"/>
      <c r="GV564" s="10"/>
      <c r="GW564" s="10"/>
      <c r="GX564" s="10"/>
      <c r="GY564" s="10"/>
      <c r="GZ564" s="10"/>
      <c r="HA564" s="10"/>
      <c r="HB564" s="10"/>
      <c r="HC564" s="10"/>
      <c r="HD564" s="10"/>
      <c r="HE564" s="10"/>
      <c r="HF564" s="10"/>
      <c r="HG564" s="10"/>
      <c r="HH564" s="10"/>
      <c r="HI564" s="10"/>
      <c r="HJ564" s="10"/>
      <c r="HK564" s="10"/>
      <c r="HL564" s="10"/>
      <c r="HM564" s="10"/>
      <c r="HN564" s="10"/>
      <c r="HO564" s="10"/>
      <c r="HP564" s="10"/>
      <c r="HQ564" s="10"/>
      <c r="HR564" s="10"/>
      <c r="HS564" s="10"/>
      <c r="HT564" s="10"/>
      <c r="HU564" s="10"/>
      <c r="HV564" s="10"/>
      <c r="HW564" s="10"/>
      <c r="HX564" s="10"/>
      <c r="HY564" s="10"/>
      <c r="HZ564" s="10"/>
      <c r="IA564" s="10"/>
      <c r="IB564" s="10"/>
      <c r="IC564" s="10"/>
      <c r="ID564" s="10"/>
      <c r="IE564" s="10"/>
      <c r="IF564" s="10"/>
      <c r="IG564" s="10"/>
      <c r="IH564" s="10"/>
      <c r="II564" s="10"/>
      <c r="IJ564" s="10"/>
      <c r="IK564" s="10"/>
      <c r="IL564" s="10"/>
      <c r="IM564" s="10"/>
      <c r="IN564" s="10"/>
      <c r="IO564" s="10"/>
      <c r="IP564" s="10"/>
      <c r="IQ564" s="10"/>
      <c r="IR564" s="10"/>
      <c r="IS564" s="10"/>
      <c r="IT564" s="10"/>
      <c r="IU564" s="10"/>
      <c r="IV564" s="10"/>
      <c r="IW564" s="10"/>
    </row>
    <row r="565" spans="1:257">
      <c r="A565" s="34"/>
      <c r="B565" s="50"/>
      <c r="C565" s="24"/>
      <c r="D565" s="24"/>
      <c r="E565" s="24"/>
      <c r="F565" s="25"/>
      <c r="G565" s="25"/>
      <c r="H565" s="25"/>
      <c r="I565" s="25"/>
      <c r="J565" s="25"/>
      <c r="K565" s="25"/>
      <c r="L565" s="25"/>
      <c r="M565" s="25"/>
      <c r="N565" s="25"/>
      <c r="O565" s="25"/>
      <c r="P565" s="25"/>
      <c r="Q565" s="25"/>
      <c r="R565" s="24"/>
      <c r="S565" s="26">
        <f t="shared" si="34"/>
        <v>0</v>
      </c>
      <c r="T565" s="26">
        <f>COUNTIF($V$4:V565,V565)</f>
        <v>522</v>
      </c>
      <c r="U565" s="26" t="str">
        <f>IF(T565=1,COUNTIF($T$4:T565,1),"")</f>
        <v/>
      </c>
      <c r="V565" s="27" t="str">
        <f t="shared" si="36"/>
        <v/>
      </c>
      <c r="W565" s="27">
        <f t="shared" si="35"/>
        <v>0</v>
      </c>
      <c r="X565" s="28"/>
      <c r="Y565" s="27"/>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c r="DO565" s="10"/>
      <c r="DP565" s="10"/>
      <c r="DQ565" s="10"/>
      <c r="DR565" s="10"/>
      <c r="DS565" s="10"/>
      <c r="DT565" s="10"/>
      <c r="DU565" s="10"/>
      <c r="DV565" s="10"/>
      <c r="DW565" s="10"/>
      <c r="DX565" s="10"/>
      <c r="DY565" s="10"/>
      <c r="DZ565" s="10"/>
      <c r="EA565" s="10"/>
      <c r="EB565" s="10"/>
      <c r="EC565" s="10"/>
      <c r="ED565" s="10"/>
      <c r="EE565" s="10"/>
      <c r="EF565" s="10"/>
      <c r="EG565" s="10"/>
      <c r="EH565" s="10"/>
      <c r="EI565" s="10"/>
      <c r="EJ565" s="10"/>
      <c r="EK565" s="10"/>
      <c r="EL565" s="10"/>
      <c r="EM565" s="10"/>
      <c r="EN565" s="10"/>
      <c r="EO565" s="10"/>
      <c r="EP565" s="10"/>
      <c r="EQ565" s="10"/>
      <c r="ER565" s="10"/>
      <c r="ES565" s="10"/>
      <c r="ET565" s="10"/>
      <c r="EU565" s="10"/>
      <c r="EV565" s="10"/>
      <c r="EW565" s="10"/>
      <c r="EX565" s="10"/>
      <c r="EY565" s="10"/>
      <c r="EZ565" s="10"/>
      <c r="FA565" s="10"/>
      <c r="FB565" s="10"/>
      <c r="FC565" s="10"/>
      <c r="FD565" s="10"/>
      <c r="FE565" s="10"/>
      <c r="FF565" s="10"/>
      <c r="FG565" s="10"/>
      <c r="FH565" s="10"/>
      <c r="FI565" s="10"/>
      <c r="FJ565" s="10"/>
      <c r="FK565" s="10"/>
      <c r="FL565" s="10"/>
      <c r="FM565" s="10"/>
      <c r="FN565" s="10"/>
      <c r="FO565" s="10"/>
      <c r="FP565" s="10"/>
      <c r="FQ565" s="10"/>
      <c r="FR565" s="10"/>
      <c r="FS565" s="10"/>
      <c r="FT565" s="10"/>
      <c r="FU565" s="10"/>
      <c r="FV565" s="10"/>
      <c r="FW565" s="10"/>
      <c r="FX565" s="10"/>
      <c r="FY565" s="10"/>
      <c r="FZ565" s="10"/>
      <c r="GA565" s="10"/>
      <c r="GB565" s="10"/>
      <c r="GC565" s="10"/>
      <c r="GD565" s="10"/>
      <c r="GE565" s="10"/>
      <c r="GF565" s="10"/>
      <c r="GG565" s="10"/>
      <c r="GH565" s="10"/>
      <c r="GI565" s="10"/>
      <c r="GJ565" s="10"/>
      <c r="GK565" s="10"/>
      <c r="GL565" s="10"/>
      <c r="GM565" s="10"/>
      <c r="GN565" s="10"/>
      <c r="GO565" s="10"/>
      <c r="GP565" s="10"/>
      <c r="GQ565" s="10"/>
      <c r="GR565" s="10"/>
      <c r="GS565" s="10"/>
      <c r="GT565" s="10"/>
      <c r="GU565" s="10"/>
      <c r="GV565" s="10"/>
      <c r="GW565" s="10"/>
      <c r="GX565" s="10"/>
      <c r="GY565" s="10"/>
      <c r="GZ565" s="10"/>
      <c r="HA565" s="10"/>
      <c r="HB565" s="10"/>
      <c r="HC565" s="10"/>
      <c r="HD565" s="10"/>
      <c r="HE565" s="10"/>
      <c r="HF565" s="10"/>
      <c r="HG565" s="10"/>
      <c r="HH565" s="10"/>
      <c r="HI565" s="10"/>
      <c r="HJ565" s="10"/>
      <c r="HK565" s="10"/>
      <c r="HL565" s="10"/>
      <c r="HM565" s="10"/>
      <c r="HN565" s="10"/>
      <c r="HO565" s="10"/>
      <c r="HP565" s="10"/>
      <c r="HQ565" s="10"/>
      <c r="HR565" s="10"/>
      <c r="HS565" s="10"/>
      <c r="HT565" s="10"/>
      <c r="HU565" s="10"/>
      <c r="HV565" s="10"/>
      <c r="HW565" s="10"/>
      <c r="HX565" s="10"/>
      <c r="HY565" s="10"/>
      <c r="HZ565" s="10"/>
      <c r="IA565" s="10"/>
      <c r="IB565" s="10"/>
      <c r="IC565" s="10"/>
      <c r="ID565" s="10"/>
      <c r="IE565" s="10"/>
      <c r="IF565" s="10"/>
      <c r="IG565" s="10"/>
      <c r="IH565" s="10"/>
      <c r="II565" s="10"/>
      <c r="IJ565" s="10"/>
      <c r="IK565" s="10"/>
      <c r="IL565" s="10"/>
      <c r="IM565" s="10"/>
      <c r="IN565" s="10"/>
      <c r="IO565" s="10"/>
      <c r="IP565" s="10"/>
      <c r="IQ565" s="10"/>
      <c r="IR565" s="10"/>
      <c r="IS565" s="10"/>
      <c r="IT565" s="10"/>
      <c r="IU565" s="10"/>
      <c r="IV565" s="10"/>
      <c r="IW565" s="10"/>
    </row>
    <row r="566" spans="1:257">
      <c r="A566" s="34"/>
      <c r="B566" s="50"/>
      <c r="C566" s="24"/>
      <c r="D566" s="24"/>
      <c r="E566" s="24"/>
      <c r="F566" s="25"/>
      <c r="G566" s="25"/>
      <c r="H566" s="25"/>
      <c r="I566" s="25"/>
      <c r="J566" s="25"/>
      <c r="K566" s="25"/>
      <c r="L566" s="25"/>
      <c r="M566" s="25"/>
      <c r="N566" s="25"/>
      <c r="O566" s="25"/>
      <c r="P566" s="25"/>
      <c r="Q566" s="25"/>
      <c r="R566" s="24"/>
      <c r="S566" s="26">
        <f t="shared" si="34"/>
        <v>0</v>
      </c>
      <c r="T566" s="26">
        <f>COUNTIF($V$4:V566,V566)</f>
        <v>523</v>
      </c>
      <c r="U566" s="26" t="str">
        <f>IF(T566=1,COUNTIF($T$4:T566,1),"")</f>
        <v/>
      </c>
      <c r="V566" s="27" t="str">
        <f t="shared" si="36"/>
        <v/>
      </c>
      <c r="W566" s="27">
        <f t="shared" si="35"/>
        <v>0</v>
      </c>
      <c r="X566" s="28"/>
      <c r="Y566" s="27"/>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c r="DO566" s="10"/>
      <c r="DP566" s="10"/>
      <c r="DQ566" s="10"/>
      <c r="DR566" s="10"/>
      <c r="DS566" s="10"/>
      <c r="DT566" s="10"/>
      <c r="DU566" s="10"/>
      <c r="DV566" s="10"/>
      <c r="DW566" s="10"/>
      <c r="DX566" s="10"/>
      <c r="DY566" s="10"/>
      <c r="DZ566" s="10"/>
      <c r="EA566" s="10"/>
      <c r="EB566" s="10"/>
      <c r="EC566" s="10"/>
      <c r="ED566" s="10"/>
      <c r="EE566" s="10"/>
      <c r="EF566" s="10"/>
      <c r="EG566" s="10"/>
      <c r="EH566" s="10"/>
      <c r="EI566" s="10"/>
      <c r="EJ566" s="10"/>
      <c r="EK566" s="10"/>
      <c r="EL566" s="10"/>
      <c r="EM566" s="10"/>
      <c r="EN566" s="10"/>
      <c r="EO566" s="10"/>
      <c r="EP566" s="10"/>
      <c r="EQ566" s="10"/>
      <c r="ER566" s="10"/>
      <c r="ES566" s="10"/>
      <c r="ET566" s="10"/>
      <c r="EU566" s="10"/>
      <c r="EV566" s="10"/>
      <c r="EW566" s="10"/>
      <c r="EX566" s="10"/>
      <c r="EY566" s="10"/>
      <c r="EZ566" s="10"/>
      <c r="FA566" s="10"/>
      <c r="FB566" s="10"/>
      <c r="FC566" s="10"/>
      <c r="FD566" s="10"/>
      <c r="FE566" s="10"/>
      <c r="FF566" s="10"/>
      <c r="FG566" s="10"/>
      <c r="FH566" s="10"/>
      <c r="FI566" s="10"/>
      <c r="FJ566" s="10"/>
      <c r="FK566" s="10"/>
      <c r="FL566" s="10"/>
      <c r="FM566" s="10"/>
      <c r="FN566" s="10"/>
      <c r="FO566" s="10"/>
      <c r="FP566" s="10"/>
      <c r="FQ566" s="10"/>
      <c r="FR566" s="10"/>
      <c r="FS566" s="10"/>
      <c r="FT566" s="10"/>
      <c r="FU566" s="10"/>
      <c r="FV566" s="10"/>
      <c r="FW566" s="10"/>
      <c r="FX566" s="10"/>
      <c r="FY566" s="10"/>
      <c r="FZ566" s="10"/>
      <c r="GA566" s="10"/>
      <c r="GB566" s="10"/>
      <c r="GC566" s="10"/>
      <c r="GD566" s="10"/>
      <c r="GE566" s="10"/>
      <c r="GF566" s="10"/>
      <c r="GG566" s="10"/>
      <c r="GH566" s="10"/>
      <c r="GI566" s="10"/>
      <c r="GJ566" s="10"/>
      <c r="GK566" s="10"/>
      <c r="GL566" s="10"/>
      <c r="GM566" s="10"/>
      <c r="GN566" s="10"/>
      <c r="GO566" s="10"/>
      <c r="GP566" s="10"/>
      <c r="GQ566" s="10"/>
      <c r="GR566" s="10"/>
      <c r="GS566" s="10"/>
      <c r="GT566" s="10"/>
      <c r="GU566" s="10"/>
      <c r="GV566" s="10"/>
      <c r="GW566" s="10"/>
      <c r="GX566" s="10"/>
      <c r="GY566" s="10"/>
      <c r="GZ566" s="10"/>
      <c r="HA566" s="10"/>
      <c r="HB566" s="10"/>
      <c r="HC566" s="10"/>
      <c r="HD566" s="10"/>
      <c r="HE566" s="10"/>
      <c r="HF566" s="10"/>
      <c r="HG566" s="10"/>
      <c r="HH566" s="10"/>
      <c r="HI566" s="10"/>
      <c r="HJ566" s="10"/>
      <c r="HK566" s="10"/>
      <c r="HL566" s="10"/>
      <c r="HM566" s="10"/>
      <c r="HN566" s="10"/>
      <c r="HO566" s="10"/>
      <c r="HP566" s="10"/>
      <c r="HQ566" s="10"/>
      <c r="HR566" s="10"/>
      <c r="HS566" s="10"/>
      <c r="HT566" s="10"/>
      <c r="HU566" s="10"/>
      <c r="HV566" s="10"/>
      <c r="HW566" s="10"/>
      <c r="HX566" s="10"/>
      <c r="HY566" s="10"/>
      <c r="HZ566" s="10"/>
      <c r="IA566" s="10"/>
      <c r="IB566" s="10"/>
      <c r="IC566" s="10"/>
      <c r="ID566" s="10"/>
      <c r="IE566" s="10"/>
      <c r="IF566" s="10"/>
      <c r="IG566" s="10"/>
      <c r="IH566" s="10"/>
      <c r="II566" s="10"/>
      <c r="IJ566" s="10"/>
      <c r="IK566" s="10"/>
      <c r="IL566" s="10"/>
      <c r="IM566" s="10"/>
      <c r="IN566" s="10"/>
      <c r="IO566" s="10"/>
      <c r="IP566" s="10"/>
      <c r="IQ566" s="10"/>
      <c r="IR566" s="10"/>
      <c r="IS566" s="10"/>
      <c r="IT566" s="10"/>
      <c r="IU566" s="10"/>
      <c r="IV566" s="10"/>
      <c r="IW566" s="10"/>
    </row>
    <row r="567" spans="1:257">
      <c r="A567" s="34"/>
      <c r="B567" s="50"/>
      <c r="C567" s="24"/>
      <c r="D567" s="24"/>
      <c r="E567" s="24"/>
      <c r="F567" s="25"/>
      <c r="G567" s="25"/>
      <c r="H567" s="25"/>
      <c r="I567" s="25"/>
      <c r="J567" s="25"/>
      <c r="K567" s="25"/>
      <c r="L567" s="25"/>
      <c r="M567" s="25"/>
      <c r="N567" s="25"/>
      <c r="O567" s="25"/>
      <c r="P567" s="25"/>
      <c r="Q567" s="25"/>
      <c r="R567" s="24"/>
      <c r="S567" s="26">
        <f t="shared" si="34"/>
        <v>0</v>
      </c>
      <c r="T567" s="26">
        <f>COUNTIF($V$4:V567,V567)</f>
        <v>524</v>
      </c>
      <c r="U567" s="26" t="str">
        <f>IF(T567=1,COUNTIF($T$4:T567,1),"")</f>
        <v/>
      </c>
      <c r="V567" s="27" t="str">
        <f t="shared" si="36"/>
        <v/>
      </c>
      <c r="W567" s="27">
        <f t="shared" si="35"/>
        <v>0</v>
      </c>
      <c r="X567" s="28"/>
      <c r="Y567" s="27"/>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0"/>
      <c r="DJ567" s="10"/>
      <c r="DK567" s="10"/>
      <c r="DL567" s="10"/>
      <c r="DM567" s="10"/>
      <c r="DN567" s="10"/>
      <c r="DO567" s="10"/>
      <c r="DP567" s="10"/>
      <c r="DQ567" s="10"/>
      <c r="DR567" s="10"/>
      <c r="DS567" s="10"/>
      <c r="DT567" s="10"/>
      <c r="DU567" s="10"/>
      <c r="DV567" s="10"/>
      <c r="DW567" s="10"/>
      <c r="DX567" s="10"/>
      <c r="DY567" s="10"/>
      <c r="DZ567" s="10"/>
      <c r="EA567" s="10"/>
      <c r="EB567" s="10"/>
      <c r="EC567" s="10"/>
      <c r="ED567" s="10"/>
      <c r="EE567" s="10"/>
      <c r="EF567" s="10"/>
      <c r="EG567" s="10"/>
      <c r="EH567" s="10"/>
      <c r="EI567" s="10"/>
      <c r="EJ567" s="10"/>
      <c r="EK567" s="10"/>
      <c r="EL567" s="10"/>
      <c r="EM567" s="10"/>
      <c r="EN567" s="10"/>
      <c r="EO567" s="10"/>
      <c r="EP567" s="10"/>
      <c r="EQ567" s="10"/>
      <c r="ER567" s="10"/>
      <c r="ES567" s="10"/>
      <c r="ET567" s="10"/>
      <c r="EU567" s="10"/>
      <c r="EV567" s="10"/>
      <c r="EW567" s="10"/>
      <c r="EX567" s="10"/>
      <c r="EY567" s="10"/>
      <c r="EZ567" s="10"/>
      <c r="FA567" s="10"/>
      <c r="FB567" s="10"/>
      <c r="FC567" s="10"/>
      <c r="FD567" s="10"/>
      <c r="FE567" s="10"/>
      <c r="FF567" s="10"/>
      <c r="FG567" s="10"/>
      <c r="FH567" s="10"/>
      <c r="FI567" s="10"/>
      <c r="FJ567" s="10"/>
      <c r="FK567" s="10"/>
      <c r="FL567" s="10"/>
      <c r="FM567" s="10"/>
      <c r="FN567" s="10"/>
      <c r="FO567" s="10"/>
      <c r="FP567" s="10"/>
      <c r="FQ567" s="10"/>
      <c r="FR567" s="10"/>
      <c r="FS567" s="10"/>
      <c r="FT567" s="10"/>
      <c r="FU567" s="10"/>
      <c r="FV567" s="10"/>
      <c r="FW567" s="10"/>
      <c r="FX567" s="10"/>
      <c r="FY567" s="10"/>
      <c r="FZ567" s="10"/>
      <c r="GA567" s="10"/>
      <c r="GB567" s="10"/>
      <c r="GC567" s="10"/>
      <c r="GD567" s="10"/>
      <c r="GE567" s="10"/>
      <c r="GF567" s="10"/>
      <c r="GG567" s="10"/>
      <c r="GH567" s="10"/>
      <c r="GI567" s="10"/>
      <c r="GJ567" s="10"/>
      <c r="GK567" s="10"/>
      <c r="GL567" s="10"/>
      <c r="GM567" s="10"/>
      <c r="GN567" s="10"/>
      <c r="GO567" s="10"/>
      <c r="GP567" s="10"/>
      <c r="GQ567" s="10"/>
      <c r="GR567" s="10"/>
      <c r="GS567" s="10"/>
      <c r="GT567" s="10"/>
      <c r="GU567" s="10"/>
      <c r="GV567" s="10"/>
      <c r="GW567" s="10"/>
      <c r="GX567" s="10"/>
      <c r="GY567" s="10"/>
      <c r="GZ567" s="10"/>
      <c r="HA567" s="10"/>
      <c r="HB567" s="10"/>
      <c r="HC567" s="10"/>
      <c r="HD567" s="10"/>
      <c r="HE567" s="10"/>
      <c r="HF567" s="10"/>
      <c r="HG567" s="10"/>
      <c r="HH567" s="10"/>
      <c r="HI567" s="10"/>
      <c r="HJ567" s="10"/>
      <c r="HK567" s="10"/>
      <c r="HL567" s="10"/>
      <c r="HM567" s="10"/>
      <c r="HN567" s="10"/>
      <c r="HO567" s="10"/>
      <c r="HP567" s="10"/>
      <c r="HQ567" s="10"/>
      <c r="HR567" s="10"/>
      <c r="HS567" s="10"/>
      <c r="HT567" s="10"/>
      <c r="HU567" s="10"/>
      <c r="HV567" s="10"/>
      <c r="HW567" s="10"/>
      <c r="HX567" s="10"/>
      <c r="HY567" s="10"/>
      <c r="HZ567" s="10"/>
      <c r="IA567" s="10"/>
      <c r="IB567" s="10"/>
      <c r="IC567" s="10"/>
      <c r="ID567" s="10"/>
      <c r="IE567" s="10"/>
      <c r="IF567" s="10"/>
      <c r="IG567" s="10"/>
      <c r="IH567" s="10"/>
      <c r="II567" s="10"/>
      <c r="IJ567" s="10"/>
      <c r="IK567" s="10"/>
      <c r="IL567" s="10"/>
      <c r="IM567" s="10"/>
      <c r="IN567" s="10"/>
      <c r="IO567" s="10"/>
      <c r="IP567" s="10"/>
      <c r="IQ567" s="10"/>
      <c r="IR567" s="10"/>
      <c r="IS567" s="10"/>
      <c r="IT567" s="10"/>
      <c r="IU567" s="10"/>
      <c r="IV567" s="10"/>
      <c r="IW567" s="10"/>
    </row>
    <row r="568" spans="1:257">
      <c r="A568" s="34"/>
      <c r="B568" s="50"/>
      <c r="C568" s="24"/>
      <c r="D568" s="24"/>
      <c r="E568" s="24"/>
      <c r="F568" s="25"/>
      <c r="G568" s="25"/>
      <c r="H568" s="25"/>
      <c r="I568" s="25"/>
      <c r="J568" s="25"/>
      <c r="K568" s="25"/>
      <c r="L568" s="25"/>
      <c r="M568" s="25"/>
      <c r="N568" s="25"/>
      <c r="O568" s="25"/>
      <c r="P568" s="25"/>
      <c r="Q568" s="25"/>
      <c r="R568" s="24"/>
      <c r="S568" s="26">
        <f t="shared" si="34"/>
        <v>0</v>
      </c>
      <c r="T568" s="26">
        <f>COUNTIF($V$4:V568,V568)</f>
        <v>525</v>
      </c>
      <c r="U568" s="26" t="str">
        <f>IF(T568=1,COUNTIF($T$4:T568,1),"")</f>
        <v/>
      </c>
      <c r="V568" s="27" t="str">
        <f t="shared" si="36"/>
        <v/>
      </c>
      <c r="W568" s="27">
        <f t="shared" si="35"/>
        <v>0</v>
      </c>
      <c r="X568" s="28"/>
      <c r="Y568" s="27"/>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0"/>
      <c r="DJ568" s="10"/>
      <c r="DK568" s="10"/>
      <c r="DL568" s="10"/>
      <c r="DM568" s="10"/>
      <c r="DN568" s="10"/>
      <c r="DO568" s="10"/>
      <c r="DP568" s="10"/>
      <c r="DQ568" s="10"/>
      <c r="DR568" s="10"/>
      <c r="DS568" s="10"/>
      <c r="DT568" s="10"/>
      <c r="DU568" s="10"/>
      <c r="DV568" s="10"/>
      <c r="DW568" s="10"/>
      <c r="DX568" s="10"/>
      <c r="DY568" s="10"/>
      <c r="DZ568" s="10"/>
      <c r="EA568" s="10"/>
      <c r="EB568" s="10"/>
      <c r="EC568" s="10"/>
      <c r="ED568" s="10"/>
      <c r="EE568" s="10"/>
      <c r="EF568" s="10"/>
      <c r="EG568" s="10"/>
      <c r="EH568" s="10"/>
      <c r="EI568" s="10"/>
      <c r="EJ568" s="10"/>
      <c r="EK568" s="10"/>
      <c r="EL568" s="10"/>
      <c r="EM568" s="10"/>
      <c r="EN568" s="10"/>
      <c r="EO568" s="10"/>
      <c r="EP568" s="10"/>
      <c r="EQ568" s="10"/>
      <c r="ER568" s="10"/>
      <c r="ES568" s="10"/>
      <c r="ET568" s="10"/>
      <c r="EU568" s="10"/>
      <c r="EV568" s="10"/>
      <c r="EW568" s="10"/>
      <c r="EX568" s="10"/>
      <c r="EY568" s="10"/>
      <c r="EZ568" s="10"/>
      <c r="FA568" s="10"/>
      <c r="FB568" s="10"/>
      <c r="FC568" s="10"/>
      <c r="FD568" s="10"/>
      <c r="FE568" s="10"/>
      <c r="FF568" s="10"/>
      <c r="FG568" s="10"/>
      <c r="FH568" s="10"/>
      <c r="FI568" s="10"/>
      <c r="FJ568" s="10"/>
      <c r="FK568" s="10"/>
      <c r="FL568" s="10"/>
      <c r="FM568" s="10"/>
      <c r="FN568" s="10"/>
      <c r="FO568" s="10"/>
      <c r="FP568" s="10"/>
      <c r="FQ568" s="10"/>
      <c r="FR568" s="10"/>
      <c r="FS568" s="10"/>
      <c r="FT568" s="10"/>
      <c r="FU568" s="10"/>
      <c r="FV568" s="10"/>
      <c r="FW568" s="10"/>
      <c r="FX568" s="10"/>
      <c r="FY568" s="10"/>
      <c r="FZ568" s="10"/>
      <c r="GA568" s="10"/>
      <c r="GB568" s="10"/>
      <c r="GC568" s="10"/>
      <c r="GD568" s="10"/>
      <c r="GE568" s="10"/>
      <c r="GF568" s="10"/>
      <c r="GG568" s="10"/>
      <c r="GH568" s="10"/>
      <c r="GI568" s="10"/>
      <c r="GJ568" s="10"/>
      <c r="GK568" s="10"/>
      <c r="GL568" s="10"/>
      <c r="GM568" s="10"/>
      <c r="GN568" s="10"/>
      <c r="GO568" s="10"/>
      <c r="GP568" s="10"/>
      <c r="GQ568" s="10"/>
      <c r="GR568" s="10"/>
      <c r="GS568" s="10"/>
      <c r="GT568" s="10"/>
      <c r="GU568" s="10"/>
      <c r="GV568" s="10"/>
      <c r="GW568" s="10"/>
      <c r="GX568" s="10"/>
      <c r="GY568" s="10"/>
      <c r="GZ568" s="10"/>
      <c r="HA568" s="10"/>
      <c r="HB568" s="10"/>
      <c r="HC568" s="10"/>
      <c r="HD568" s="10"/>
      <c r="HE568" s="10"/>
      <c r="HF568" s="10"/>
      <c r="HG568" s="10"/>
      <c r="HH568" s="10"/>
      <c r="HI568" s="10"/>
      <c r="HJ568" s="10"/>
      <c r="HK568" s="10"/>
      <c r="HL568" s="10"/>
      <c r="HM568" s="10"/>
      <c r="HN568" s="10"/>
      <c r="HO568" s="10"/>
      <c r="HP568" s="10"/>
      <c r="HQ568" s="10"/>
      <c r="HR568" s="10"/>
      <c r="HS568" s="10"/>
      <c r="HT568" s="10"/>
      <c r="HU568" s="10"/>
      <c r="HV568" s="10"/>
      <c r="HW568" s="10"/>
      <c r="HX568" s="10"/>
      <c r="HY568" s="10"/>
      <c r="HZ568" s="10"/>
      <c r="IA568" s="10"/>
      <c r="IB568" s="10"/>
      <c r="IC568" s="10"/>
      <c r="ID568" s="10"/>
      <c r="IE568" s="10"/>
      <c r="IF568" s="10"/>
      <c r="IG568" s="10"/>
      <c r="IH568" s="10"/>
      <c r="II568" s="10"/>
      <c r="IJ568" s="10"/>
      <c r="IK568" s="10"/>
      <c r="IL568" s="10"/>
      <c r="IM568" s="10"/>
      <c r="IN568" s="10"/>
      <c r="IO568" s="10"/>
      <c r="IP568" s="10"/>
      <c r="IQ568" s="10"/>
      <c r="IR568" s="10"/>
      <c r="IS568" s="10"/>
      <c r="IT568" s="10"/>
      <c r="IU568" s="10"/>
      <c r="IV568" s="10"/>
      <c r="IW568" s="10"/>
    </row>
    <row r="569" spans="1:257">
      <c r="A569" s="34"/>
      <c r="B569" s="50"/>
      <c r="C569" s="24"/>
      <c r="D569" s="24"/>
      <c r="E569" s="24"/>
      <c r="F569" s="25"/>
      <c r="G569" s="25"/>
      <c r="H569" s="25"/>
      <c r="I569" s="25"/>
      <c r="J569" s="25"/>
      <c r="K569" s="25"/>
      <c r="L569" s="25"/>
      <c r="M569" s="25"/>
      <c r="N569" s="25"/>
      <c r="O569" s="25"/>
      <c r="P569" s="25"/>
      <c r="Q569" s="25"/>
      <c r="R569" s="24"/>
      <c r="S569" s="26">
        <f t="shared" si="34"/>
        <v>0</v>
      </c>
      <c r="T569" s="26">
        <f>COUNTIF($V$4:V569,V569)</f>
        <v>526</v>
      </c>
      <c r="U569" s="26" t="str">
        <f>IF(T569=1,COUNTIF($T$4:T569,1),"")</f>
        <v/>
      </c>
      <c r="V569" s="27" t="str">
        <f t="shared" si="36"/>
        <v/>
      </c>
      <c r="W569" s="27">
        <f t="shared" si="35"/>
        <v>0</v>
      </c>
      <c r="X569" s="28"/>
      <c r="Y569" s="27"/>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0"/>
      <c r="DJ569" s="10"/>
      <c r="DK569" s="10"/>
      <c r="DL569" s="10"/>
      <c r="DM569" s="10"/>
      <c r="DN569" s="10"/>
      <c r="DO569" s="10"/>
      <c r="DP569" s="10"/>
      <c r="DQ569" s="10"/>
      <c r="DR569" s="10"/>
      <c r="DS569" s="10"/>
      <c r="DT569" s="10"/>
      <c r="DU569" s="10"/>
      <c r="DV569" s="10"/>
      <c r="DW569" s="10"/>
      <c r="DX569" s="10"/>
      <c r="DY569" s="10"/>
      <c r="DZ569" s="10"/>
      <c r="EA569" s="10"/>
      <c r="EB569" s="10"/>
      <c r="EC569" s="10"/>
      <c r="ED569" s="10"/>
      <c r="EE569" s="10"/>
      <c r="EF569" s="10"/>
      <c r="EG569" s="10"/>
      <c r="EH569" s="10"/>
      <c r="EI569" s="10"/>
      <c r="EJ569" s="10"/>
      <c r="EK569" s="10"/>
      <c r="EL569" s="10"/>
      <c r="EM569" s="10"/>
      <c r="EN569" s="10"/>
      <c r="EO569" s="10"/>
      <c r="EP569" s="10"/>
      <c r="EQ569" s="10"/>
      <c r="ER569" s="10"/>
      <c r="ES569" s="10"/>
      <c r="ET569" s="10"/>
      <c r="EU569" s="10"/>
      <c r="EV569" s="10"/>
      <c r="EW569" s="10"/>
      <c r="EX569" s="10"/>
      <c r="EY569" s="10"/>
      <c r="EZ569" s="10"/>
      <c r="FA569" s="10"/>
      <c r="FB569" s="10"/>
      <c r="FC569" s="10"/>
      <c r="FD569" s="10"/>
      <c r="FE569" s="10"/>
      <c r="FF569" s="10"/>
      <c r="FG569" s="10"/>
      <c r="FH569" s="10"/>
      <c r="FI569" s="10"/>
      <c r="FJ569" s="10"/>
      <c r="FK569" s="10"/>
      <c r="FL569" s="10"/>
      <c r="FM569" s="10"/>
      <c r="FN569" s="10"/>
      <c r="FO569" s="10"/>
      <c r="FP569" s="10"/>
      <c r="FQ569" s="10"/>
      <c r="FR569" s="10"/>
      <c r="FS569" s="10"/>
      <c r="FT569" s="10"/>
      <c r="FU569" s="10"/>
      <c r="FV569" s="10"/>
      <c r="FW569" s="10"/>
      <c r="FX569" s="10"/>
      <c r="FY569" s="10"/>
      <c r="FZ569" s="10"/>
      <c r="GA569" s="10"/>
      <c r="GB569" s="10"/>
      <c r="GC569" s="10"/>
      <c r="GD569" s="10"/>
      <c r="GE569" s="10"/>
      <c r="GF569" s="10"/>
      <c r="GG569" s="10"/>
      <c r="GH569" s="10"/>
      <c r="GI569" s="10"/>
      <c r="GJ569" s="10"/>
      <c r="GK569" s="10"/>
      <c r="GL569" s="10"/>
      <c r="GM569" s="10"/>
      <c r="GN569" s="10"/>
      <c r="GO569" s="10"/>
      <c r="GP569" s="10"/>
      <c r="GQ569" s="10"/>
      <c r="GR569" s="10"/>
      <c r="GS569" s="10"/>
      <c r="GT569" s="10"/>
      <c r="GU569" s="10"/>
      <c r="GV569" s="10"/>
      <c r="GW569" s="10"/>
      <c r="GX569" s="10"/>
      <c r="GY569" s="10"/>
      <c r="GZ569" s="10"/>
      <c r="HA569" s="10"/>
      <c r="HB569" s="10"/>
      <c r="HC569" s="10"/>
      <c r="HD569" s="10"/>
      <c r="HE569" s="10"/>
      <c r="HF569" s="10"/>
      <c r="HG569" s="10"/>
      <c r="HH569" s="10"/>
      <c r="HI569" s="10"/>
      <c r="HJ569" s="10"/>
      <c r="HK569" s="10"/>
      <c r="HL569" s="10"/>
      <c r="HM569" s="10"/>
      <c r="HN569" s="10"/>
      <c r="HO569" s="10"/>
      <c r="HP569" s="10"/>
      <c r="HQ569" s="10"/>
      <c r="HR569" s="10"/>
      <c r="HS569" s="10"/>
      <c r="HT569" s="10"/>
      <c r="HU569" s="10"/>
      <c r="HV569" s="10"/>
      <c r="HW569" s="10"/>
      <c r="HX569" s="10"/>
      <c r="HY569" s="10"/>
      <c r="HZ569" s="10"/>
      <c r="IA569" s="10"/>
      <c r="IB569" s="10"/>
      <c r="IC569" s="10"/>
      <c r="ID569" s="10"/>
      <c r="IE569" s="10"/>
      <c r="IF569" s="10"/>
      <c r="IG569" s="10"/>
      <c r="IH569" s="10"/>
      <c r="II569" s="10"/>
      <c r="IJ569" s="10"/>
      <c r="IK569" s="10"/>
      <c r="IL569" s="10"/>
      <c r="IM569" s="10"/>
      <c r="IN569" s="10"/>
      <c r="IO569" s="10"/>
      <c r="IP569" s="10"/>
      <c r="IQ569" s="10"/>
      <c r="IR569" s="10"/>
      <c r="IS569" s="10"/>
      <c r="IT569" s="10"/>
      <c r="IU569" s="10"/>
      <c r="IV569" s="10"/>
      <c r="IW569" s="10"/>
    </row>
    <row r="570" spans="1:257">
      <c r="A570" s="34"/>
      <c r="B570" s="50"/>
      <c r="C570" s="24"/>
      <c r="D570" s="24"/>
      <c r="E570" s="24"/>
      <c r="F570" s="25"/>
      <c r="G570" s="25"/>
      <c r="H570" s="25"/>
      <c r="I570" s="25"/>
      <c r="J570" s="25"/>
      <c r="K570" s="25"/>
      <c r="L570" s="25"/>
      <c r="M570" s="25"/>
      <c r="N570" s="25"/>
      <c r="O570" s="25"/>
      <c r="P570" s="25"/>
      <c r="Q570" s="25"/>
      <c r="R570" s="24"/>
      <c r="S570" s="26">
        <f t="shared" si="34"/>
        <v>0</v>
      </c>
      <c r="T570" s="26">
        <f>COUNTIF($V$4:V570,V570)</f>
        <v>527</v>
      </c>
      <c r="U570" s="26" t="str">
        <f>IF(T570=1,COUNTIF($T$4:T570,1),"")</f>
        <v/>
      </c>
      <c r="V570" s="27" t="str">
        <f t="shared" si="36"/>
        <v/>
      </c>
      <c r="W570" s="27">
        <f t="shared" si="35"/>
        <v>0</v>
      </c>
      <c r="X570" s="28"/>
      <c r="Y570" s="27"/>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0"/>
      <c r="DJ570" s="10"/>
      <c r="DK570" s="10"/>
      <c r="DL570" s="10"/>
      <c r="DM570" s="10"/>
      <c r="DN570" s="10"/>
      <c r="DO570" s="10"/>
      <c r="DP570" s="10"/>
      <c r="DQ570" s="10"/>
      <c r="DR570" s="10"/>
      <c r="DS570" s="10"/>
      <c r="DT570" s="10"/>
      <c r="DU570" s="10"/>
      <c r="DV570" s="10"/>
      <c r="DW570" s="10"/>
      <c r="DX570" s="10"/>
      <c r="DY570" s="10"/>
      <c r="DZ570" s="10"/>
      <c r="EA570" s="10"/>
      <c r="EB570" s="10"/>
      <c r="EC570" s="10"/>
      <c r="ED570" s="10"/>
      <c r="EE570" s="10"/>
      <c r="EF570" s="10"/>
      <c r="EG570" s="10"/>
      <c r="EH570" s="10"/>
      <c r="EI570" s="10"/>
      <c r="EJ570" s="10"/>
      <c r="EK570" s="10"/>
      <c r="EL570" s="10"/>
      <c r="EM570" s="10"/>
      <c r="EN570" s="10"/>
      <c r="EO570" s="10"/>
      <c r="EP570" s="10"/>
      <c r="EQ570" s="10"/>
      <c r="ER570" s="10"/>
      <c r="ES570" s="10"/>
      <c r="ET570" s="10"/>
      <c r="EU570" s="10"/>
      <c r="EV570" s="10"/>
      <c r="EW570" s="10"/>
      <c r="EX570" s="10"/>
      <c r="EY570" s="10"/>
      <c r="EZ570" s="10"/>
      <c r="FA570" s="10"/>
      <c r="FB570" s="10"/>
      <c r="FC570" s="10"/>
      <c r="FD570" s="10"/>
      <c r="FE570" s="10"/>
      <c r="FF570" s="10"/>
      <c r="FG570" s="10"/>
      <c r="FH570" s="10"/>
      <c r="FI570" s="10"/>
      <c r="FJ570" s="10"/>
      <c r="FK570" s="10"/>
      <c r="FL570" s="10"/>
      <c r="FM570" s="10"/>
      <c r="FN570" s="10"/>
      <c r="FO570" s="10"/>
      <c r="FP570" s="10"/>
      <c r="FQ570" s="10"/>
      <c r="FR570" s="10"/>
      <c r="FS570" s="10"/>
      <c r="FT570" s="10"/>
      <c r="FU570" s="10"/>
      <c r="FV570" s="10"/>
      <c r="FW570" s="10"/>
      <c r="FX570" s="10"/>
      <c r="FY570" s="10"/>
      <c r="FZ570" s="10"/>
      <c r="GA570" s="10"/>
      <c r="GB570" s="10"/>
      <c r="GC570" s="10"/>
      <c r="GD570" s="10"/>
      <c r="GE570" s="10"/>
      <c r="GF570" s="10"/>
      <c r="GG570" s="10"/>
      <c r="GH570" s="10"/>
      <c r="GI570" s="10"/>
      <c r="GJ570" s="10"/>
      <c r="GK570" s="10"/>
      <c r="GL570" s="10"/>
      <c r="GM570" s="10"/>
      <c r="GN570" s="10"/>
      <c r="GO570" s="10"/>
      <c r="GP570" s="10"/>
      <c r="GQ570" s="10"/>
      <c r="GR570" s="10"/>
      <c r="GS570" s="10"/>
      <c r="GT570" s="10"/>
      <c r="GU570" s="10"/>
      <c r="GV570" s="10"/>
      <c r="GW570" s="10"/>
      <c r="GX570" s="10"/>
      <c r="GY570" s="10"/>
      <c r="GZ570" s="10"/>
      <c r="HA570" s="10"/>
      <c r="HB570" s="10"/>
      <c r="HC570" s="10"/>
      <c r="HD570" s="10"/>
      <c r="HE570" s="10"/>
      <c r="HF570" s="10"/>
      <c r="HG570" s="10"/>
      <c r="HH570" s="10"/>
      <c r="HI570" s="10"/>
      <c r="HJ570" s="10"/>
      <c r="HK570" s="10"/>
      <c r="HL570" s="10"/>
      <c r="HM570" s="10"/>
      <c r="HN570" s="10"/>
      <c r="HO570" s="10"/>
      <c r="HP570" s="10"/>
      <c r="HQ570" s="10"/>
      <c r="HR570" s="10"/>
      <c r="HS570" s="10"/>
      <c r="HT570" s="10"/>
      <c r="HU570" s="10"/>
      <c r="HV570" s="10"/>
      <c r="HW570" s="10"/>
      <c r="HX570" s="10"/>
      <c r="HY570" s="10"/>
      <c r="HZ570" s="10"/>
      <c r="IA570" s="10"/>
      <c r="IB570" s="10"/>
      <c r="IC570" s="10"/>
      <c r="ID570" s="10"/>
      <c r="IE570" s="10"/>
      <c r="IF570" s="10"/>
      <c r="IG570" s="10"/>
      <c r="IH570" s="10"/>
      <c r="II570" s="10"/>
      <c r="IJ570" s="10"/>
      <c r="IK570" s="10"/>
      <c r="IL570" s="10"/>
      <c r="IM570" s="10"/>
      <c r="IN570" s="10"/>
      <c r="IO570" s="10"/>
      <c r="IP570" s="10"/>
      <c r="IQ570" s="10"/>
      <c r="IR570" s="10"/>
      <c r="IS570" s="10"/>
      <c r="IT570" s="10"/>
      <c r="IU570" s="10"/>
      <c r="IV570" s="10"/>
      <c r="IW570" s="10"/>
    </row>
    <row r="571" spans="1:257">
      <c r="A571" s="34"/>
      <c r="B571" s="50"/>
      <c r="C571" s="24"/>
      <c r="D571" s="24"/>
      <c r="E571" s="24"/>
      <c r="F571" s="25"/>
      <c r="G571" s="25"/>
      <c r="H571" s="25"/>
      <c r="I571" s="25"/>
      <c r="J571" s="25"/>
      <c r="K571" s="25"/>
      <c r="L571" s="25"/>
      <c r="M571" s="25"/>
      <c r="N571" s="25"/>
      <c r="O571" s="25"/>
      <c r="P571" s="25"/>
      <c r="Q571" s="25"/>
      <c r="R571" s="24"/>
      <c r="S571" s="26">
        <f t="shared" si="34"/>
        <v>0</v>
      </c>
      <c r="T571" s="26">
        <f>COUNTIF($V$4:V571,V571)</f>
        <v>528</v>
      </c>
      <c r="U571" s="26" t="str">
        <f>IF(T571=1,COUNTIF($T$4:T571,1),"")</f>
        <v/>
      </c>
      <c r="V571" s="27" t="str">
        <f t="shared" si="36"/>
        <v/>
      </c>
      <c r="W571" s="27">
        <f t="shared" si="35"/>
        <v>0</v>
      </c>
      <c r="X571" s="28"/>
      <c r="Y571" s="27"/>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c r="DO571" s="10"/>
      <c r="DP571" s="10"/>
      <c r="DQ571" s="10"/>
      <c r="DR571" s="10"/>
      <c r="DS571" s="10"/>
      <c r="DT571" s="10"/>
      <c r="DU571" s="10"/>
      <c r="DV571" s="10"/>
      <c r="DW571" s="10"/>
      <c r="DX571" s="10"/>
      <c r="DY571" s="10"/>
      <c r="DZ571" s="10"/>
      <c r="EA571" s="10"/>
      <c r="EB571" s="10"/>
      <c r="EC571" s="10"/>
      <c r="ED571" s="10"/>
      <c r="EE571" s="10"/>
      <c r="EF571" s="10"/>
      <c r="EG571" s="10"/>
      <c r="EH571" s="10"/>
      <c r="EI571" s="10"/>
      <c r="EJ571" s="10"/>
      <c r="EK571" s="10"/>
      <c r="EL571" s="10"/>
      <c r="EM571" s="10"/>
      <c r="EN571" s="10"/>
      <c r="EO571" s="10"/>
      <c r="EP571" s="10"/>
      <c r="EQ571" s="10"/>
      <c r="ER571" s="10"/>
      <c r="ES571" s="10"/>
      <c r="ET571" s="10"/>
      <c r="EU571" s="10"/>
      <c r="EV571" s="10"/>
      <c r="EW571" s="10"/>
      <c r="EX571" s="10"/>
      <c r="EY571" s="10"/>
      <c r="EZ571" s="10"/>
      <c r="FA571" s="10"/>
      <c r="FB571" s="10"/>
      <c r="FC571" s="10"/>
      <c r="FD571" s="10"/>
      <c r="FE571" s="10"/>
      <c r="FF571" s="10"/>
      <c r="FG571" s="10"/>
      <c r="FH571" s="10"/>
      <c r="FI571" s="10"/>
      <c r="FJ571" s="10"/>
      <c r="FK571" s="10"/>
      <c r="FL571" s="10"/>
      <c r="FM571" s="10"/>
      <c r="FN571" s="10"/>
      <c r="FO571" s="10"/>
      <c r="FP571" s="10"/>
      <c r="FQ571" s="10"/>
      <c r="FR571" s="10"/>
      <c r="FS571" s="10"/>
      <c r="FT571" s="10"/>
      <c r="FU571" s="10"/>
      <c r="FV571" s="10"/>
      <c r="FW571" s="10"/>
      <c r="FX571" s="10"/>
      <c r="FY571" s="10"/>
      <c r="FZ571" s="10"/>
      <c r="GA571" s="10"/>
      <c r="GB571" s="10"/>
      <c r="GC571" s="10"/>
      <c r="GD571" s="10"/>
      <c r="GE571" s="10"/>
      <c r="GF571" s="10"/>
      <c r="GG571" s="10"/>
      <c r="GH571" s="10"/>
      <c r="GI571" s="10"/>
      <c r="GJ571" s="10"/>
      <c r="GK571" s="10"/>
      <c r="GL571" s="10"/>
      <c r="GM571" s="10"/>
      <c r="GN571" s="10"/>
      <c r="GO571" s="10"/>
      <c r="GP571" s="10"/>
      <c r="GQ571" s="10"/>
      <c r="GR571" s="10"/>
      <c r="GS571" s="10"/>
      <c r="GT571" s="10"/>
      <c r="GU571" s="10"/>
      <c r="GV571" s="10"/>
      <c r="GW571" s="10"/>
      <c r="GX571" s="10"/>
      <c r="GY571" s="10"/>
      <c r="GZ571" s="10"/>
      <c r="HA571" s="10"/>
      <c r="HB571" s="10"/>
      <c r="HC571" s="10"/>
      <c r="HD571" s="10"/>
      <c r="HE571" s="10"/>
      <c r="HF571" s="10"/>
      <c r="HG571" s="10"/>
      <c r="HH571" s="10"/>
      <c r="HI571" s="10"/>
      <c r="HJ571" s="10"/>
      <c r="HK571" s="10"/>
      <c r="HL571" s="10"/>
      <c r="HM571" s="10"/>
      <c r="HN571" s="10"/>
      <c r="HO571" s="10"/>
      <c r="HP571" s="10"/>
      <c r="HQ571" s="10"/>
      <c r="HR571" s="10"/>
      <c r="HS571" s="10"/>
      <c r="HT571" s="10"/>
      <c r="HU571" s="10"/>
      <c r="HV571" s="10"/>
      <c r="HW571" s="10"/>
      <c r="HX571" s="10"/>
      <c r="HY571" s="10"/>
      <c r="HZ571" s="10"/>
      <c r="IA571" s="10"/>
      <c r="IB571" s="10"/>
      <c r="IC571" s="10"/>
      <c r="ID571" s="10"/>
      <c r="IE571" s="10"/>
      <c r="IF571" s="10"/>
      <c r="IG571" s="10"/>
      <c r="IH571" s="10"/>
      <c r="II571" s="10"/>
      <c r="IJ571" s="10"/>
      <c r="IK571" s="10"/>
      <c r="IL571" s="10"/>
      <c r="IM571" s="10"/>
      <c r="IN571" s="10"/>
      <c r="IO571" s="10"/>
      <c r="IP571" s="10"/>
      <c r="IQ571" s="10"/>
      <c r="IR571" s="10"/>
      <c r="IS571" s="10"/>
      <c r="IT571" s="10"/>
      <c r="IU571" s="10"/>
      <c r="IV571" s="10"/>
      <c r="IW571" s="10"/>
    </row>
    <row r="572" spans="1:257">
      <c r="A572" s="34"/>
      <c r="B572" s="50"/>
      <c r="C572" s="24"/>
      <c r="D572" s="24"/>
      <c r="E572" s="24"/>
      <c r="F572" s="25"/>
      <c r="G572" s="25"/>
      <c r="H572" s="25"/>
      <c r="I572" s="25"/>
      <c r="J572" s="25"/>
      <c r="K572" s="25"/>
      <c r="L572" s="25"/>
      <c r="M572" s="25"/>
      <c r="N572" s="25"/>
      <c r="O572" s="25"/>
      <c r="P572" s="25"/>
      <c r="Q572" s="25"/>
      <c r="R572" s="24"/>
      <c r="S572" s="26">
        <f t="shared" si="34"/>
        <v>0</v>
      </c>
      <c r="T572" s="26">
        <f>COUNTIF($V$4:V572,V572)</f>
        <v>529</v>
      </c>
      <c r="U572" s="26" t="str">
        <f>IF(T572=1,COUNTIF($T$4:T572,1),"")</f>
        <v/>
      </c>
      <c r="V572" s="27" t="str">
        <f t="shared" si="36"/>
        <v/>
      </c>
      <c r="W572" s="27">
        <f t="shared" si="35"/>
        <v>0</v>
      </c>
      <c r="X572" s="28"/>
      <c r="Y572" s="27"/>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c r="DO572" s="10"/>
      <c r="DP572" s="10"/>
      <c r="DQ572" s="10"/>
      <c r="DR572" s="10"/>
      <c r="DS572" s="10"/>
      <c r="DT572" s="10"/>
      <c r="DU572" s="10"/>
      <c r="DV572" s="10"/>
      <c r="DW572" s="10"/>
      <c r="DX572" s="10"/>
      <c r="DY572" s="10"/>
      <c r="DZ572" s="10"/>
      <c r="EA572" s="10"/>
      <c r="EB572" s="10"/>
      <c r="EC572" s="10"/>
      <c r="ED572" s="10"/>
      <c r="EE572" s="10"/>
      <c r="EF572" s="10"/>
      <c r="EG572" s="10"/>
      <c r="EH572" s="10"/>
      <c r="EI572" s="10"/>
      <c r="EJ572" s="10"/>
      <c r="EK572" s="10"/>
      <c r="EL572" s="10"/>
      <c r="EM572" s="10"/>
      <c r="EN572" s="10"/>
      <c r="EO572" s="10"/>
      <c r="EP572" s="10"/>
      <c r="EQ572" s="10"/>
      <c r="ER572" s="10"/>
      <c r="ES572" s="10"/>
      <c r="ET572" s="10"/>
      <c r="EU572" s="10"/>
      <c r="EV572" s="10"/>
      <c r="EW572" s="10"/>
      <c r="EX572" s="10"/>
      <c r="EY572" s="10"/>
      <c r="EZ572" s="10"/>
      <c r="FA572" s="10"/>
      <c r="FB572" s="10"/>
      <c r="FC572" s="10"/>
      <c r="FD572" s="10"/>
      <c r="FE572" s="10"/>
      <c r="FF572" s="10"/>
      <c r="FG572" s="10"/>
      <c r="FH572" s="10"/>
      <c r="FI572" s="10"/>
      <c r="FJ572" s="10"/>
      <c r="FK572" s="10"/>
      <c r="FL572" s="10"/>
      <c r="FM572" s="10"/>
      <c r="FN572" s="10"/>
      <c r="FO572" s="10"/>
      <c r="FP572" s="10"/>
      <c r="FQ572" s="10"/>
      <c r="FR572" s="10"/>
      <c r="FS572" s="10"/>
      <c r="FT572" s="10"/>
      <c r="FU572" s="10"/>
      <c r="FV572" s="10"/>
      <c r="FW572" s="10"/>
      <c r="FX572" s="10"/>
      <c r="FY572" s="10"/>
      <c r="FZ572" s="10"/>
      <c r="GA572" s="10"/>
      <c r="GB572" s="10"/>
      <c r="GC572" s="10"/>
      <c r="GD572" s="10"/>
      <c r="GE572" s="10"/>
      <c r="GF572" s="10"/>
      <c r="GG572" s="10"/>
      <c r="GH572" s="10"/>
      <c r="GI572" s="10"/>
      <c r="GJ572" s="10"/>
      <c r="GK572" s="10"/>
      <c r="GL572" s="10"/>
      <c r="GM572" s="10"/>
      <c r="GN572" s="10"/>
      <c r="GO572" s="10"/>
      <c r="GP572" s="10"/>
      <c r="GQ572" s="10"/>
      <c r="GR572" s="10"/>
      <c r="GS572" s="10"/>
      <c r="GT572" s="10"/>
      <c r="GU572" s="10"/>
      <c r="GV572" s="10"/>
      <c r="GW572" s="10"/>
      <c r="GX572" s="10"/>
      <c r="GY572" s="10"/>
      <c r="GZ572" s="10"/>
      <c r="HA572" s="10"/>
      <c r="HB572" s="10"/>
      <c r="HC572" s="10"/>
      <c r="HD572" s="10"/>
      <c r="HE572" s="10"/>
      <c r="HF572" s="10"/>
      <c r="HG572" s="10"/>
      <c r="HH572" s="10"/>
      <c r="HI572" s="10"/>
      <c r="HJ572" s="10"/>
      <c r="HK572" s="10"/>
      <c r="HL572" s="10"/>
      <c r="HM572" s="10"/>
      <c r="HN572" s="10"/>
      <c r="HO572" s="10"/>
      <c r="HP572" s="10"/>
      <c r="HQ572" s="10"/>
      <c r="HR572" s="10"/>
      <c r="HS572" s="10"/>
      <c r="HT572" s="10"/>
      <c r="HU572" s="10"/>
      <c r="HV572" s="10"/>
      <c r="HW572" s="10"/>
      <c r="HX572" s="10"/>
      <c r="HY572" s="10"/>
      <c r="HZ572" s="10"/>
      <c r="IA572" s="10"/>
      <c r="IB572" s="10"/>
      <c r="IC572" s="10"/>
      <c r="ID572" s="10"/>
      <c r="IE572" s="10"/>
      <c r="IF572" s="10"/>
      <c r="IG572" s="10"/>
      <c r="IH572" s="10"/>
      <c r="II572" s="10"/>
      <c r="IJ572" s="10"/>
      <c r="IK572" s="10"/>
      <c r="IL572" s="10"/>
      <c r="IM572" s="10"/>
      <c r="IN572" s="10"/>
      <c r="IO572" s="10"/>
      <c r="IP572" s="10"/>
      <c r="IQ572" s="10"/>
      <c r="IR572" s="10"/>
      <c r="IS572" s="10"/>
      <c r="IT572" s="10"/>
      <c r="IU572" s="10"/>
      <c r="IV572" s="10"/>
      <c r="IW572" s="10"/>
    </row>
    <row r="573" spans="1:257">
      <c r="A573" s="34"/>
      <c r="B573" s="50"/>
      <c r="C573" s="24"/>
      <c r="D573" s="24"/>
      <c r="E573" s="24"/>
      <c r="F573" s="25"/>
      <c r="G573" s="25"/>
      <c r="H573" s="25"/>
      <c r="I573" s="25"/>
      <c r="J573" s="25"/>
      <c r="K573" s="25"/>
      <c r="L573" s="25"/>
      <c r="M573" s="25"/>
      <c r="N573" s="25"/>
      <c r="O573" s="25"/>
      <c r="P573" s="25"/>
      <c r="Q573" s="25"/>
      <c r="R573" s="24"/>
      <c r="S573" s="26">
        <f t="shared" si="34"/>
        <v>0</v>
      </c>
      <c r="T573" s="26">
        <f>COUNTIF($V$4:V573,V573)</f>
        <v>530</v>
      </c>
      <c r="U573" s="26" t="str">
        <f>IF(T573=1,COUNTIF($T$4:T573,1),"")</f>
        <v/>
      </c>
      <c r="V573" s="27" t="str">
        <f t="shared" si="36"/>
        <v/>
      </c>
      <c r="W573" s="27">
        <f t="shared" si="35"/>
        <v>0</v>
      </c>
      <c r="X573" s="28"/>
      <c r="Y573" s="27"/>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c r="DO573" s="10"/>
      <c r="DP573" s="10"/>
      <c r="DQ573" s="10"/>
      <c r="DR573" s="10"/>
      <c r="DS573" s="10"/>
      <c r="DT573" s="10"/>
      <c r="DU573" s="10"/>
      <c r="DV573" s="10"/>
      <c r="DW573" s="10"/>
      <c r="DX573" s="10"/>
      <c r="DY573" s="10"/>
      <c r="DZ573" s="10"/>
      <c r="EA573" s="10"/>
      <c r="EB573" s="10"/>
      <c r="EC573" s="10"/>
      <c r="ED573" s="10"/>
      <c r="EE573" s="10"/>
      <c r="EF573" s="10"/>
      <c r="EG573" s="10"/>
      <c r="EH573" s="10"/>
      <c r="EI573" s="10"/>
      <c r="EJ573" s="10"/>
      <c r="EK573" s="10"/>
      <c r="EL573" s="10"/>
      <c r="EM573" s="10"/>
      <c r="EN573" s="10"/>
      <c r="EO573" s="10"/>
      <c r="EP573" s="10"/>
      <c r="EQ573" s="10"/>
      <c r="ER573" s="10"/>
      <c r="ES573" s="10"/>
      <c r="ET573" s="10"/>
      <c r="EU573" s="10"/>
      <c r="EV573" s="10"/>
      <c r="EW573" s="10"/>
      <c r="EX573" s="10"/>
      <c r="EY573" s="10"/>
      <c r="EZ573" s="10"/>
      <c r="FA573" s="10"/>
      <c r="FB573" s="10"/>
      <c r="FC573" s="10"/>
      <c r="FD573" s="10"/>
      <c r="FE573" s="10"/>
      <c r="FF573" s="10"/>
      <c r="FG573" s="10"/>
      <c r="FH573" s="10"/>
      <c r="FI573" s="10"/>
      <c r="FJ573" s="10"/>
      <c r="FK573" s="10"/>
      <c r="FL573" s="10"/>
      <c r="FM573" s="10"/>
      <c r="FN573" s="10"/>
      <c r="FO573" s="10"/>
      <c r="FP573" s="10"/>
      <c r="FQ573" s="10"/>
      <c r="FR573" s="10"/>
      <c r="FS573" s="10"/>
      <c r="FT573" s="10"/>
      <c r="FU573" s="10"/>
      <c r="FV573" s="10"/>
      <c r="FW573" s="10"/>
      <c r="FX573" s="10"/>
      <c r="FY573" s="10"/>
      <c r="FZ573" s="10"/>
      <c r="GA573" s="10"/>
      <c r="GB573" s="10"/>
      <c r="GC573" s="10"/>
      <c r="GD573" s="10"/>
      <c r="GE573" s="10"/>
      <c r="GF573" s="10"/>
      <c r="GG573" s="10"/>
      <c r="GH573" s="10"/>
      <c r="GI573" s="10"/>
      <c r="GJ573" s="10"/>
      <c r="GK573" s="10"/>
      <c r="GL573" s="10"/>
      <c r="GM573" s="10"/>
      <c r="GN573" s="10"/>
      <c r="GO573" s="10"/>
      <c r="GP573" s="10"/>
      <c r="GQ573" s="10"/>
      <c r="GR573" s="10"/>
      <c r="GS573" s="10"/>
      <c r="GT573" s="10"/>
      <c r="GU573" s="10"/>
      <c r="GV573" s="10"/>
      <c r="GW573" s="10"/>
      <c r="GX573" s="10"/>
      <c r="GY573" s="10"/>
      <c r="GZ573" s="10"/>
      <c r="HA573" s="10"/>
      <c r="HB573" s="10"/>
      <c r="HC573" s="10"/>
      <c r="HD573" s="10"/>
      <c r="HE573" s="10"/>
      <c r="HF573" s="10"/>
      <c r="HG573" s="10"/>
      <c r="HH573" s="10"/>
      <c r="HI573" s="10"/>
      <c r="HJ573" s="10"/>
      <c r="HK573" s="10"/>
      <c r="HL573" s="10"/>
      <c r="HM573" s="10"/>
      <c r="HN573" s="10"/>
      <c r="HO573" s="10"/>
      <c r="HP573" s="10"/>
      <c r="HQ573" s="10"/>
      <c r="HR573" s="10"/>
      <c r="HS573" s="10"/>
      <c r="HT573" s="10"/>
      <c r="HU573" s="10"/>
      <c r="HV573" s="10"/>
      <c r="HW573" s="10"/>
      <c r="HX573" s="10"/>
      <c r="HY573" s="10"/>
      <c r="HZ573" s="10"/>
      <c r="IA573" s="10"/>
      <c r="IB573" s="10"/>
      <c r="IC573" s="10"/>
      <c r="ID573" s="10"/>
      <c r="IE573" s="10"/>
      <c r="IF573" s="10"/>
      <c r="IG573" s="10"/>
      <c r="IH573" s="10"/>
      <c r="II573" s="10"/>
      <c r="IJ573" s="10"/>
      <c r="IK573" s="10"/>
      <c r="IL573" s="10"/>
      <c r="IM573" s="10"/>
      <c r="IN573" s="10"/>
      <c r="IO573" s="10"/>
      <c r="IP573" s="10"/>
      <c r="IQ573" s="10"/>
      <c r="IR573" s="10"/>
      <c r="IS573" s="10"/>
      <c r="IT573" s="10"/>
      <c r="IU573" s="10"/>
      <c r="IV573" s="10"/>
      <c r="IW573" s="10"/>
    </row>
    <row r="574" spans="1:257">
      <c r="A574" s="34"/>
      <c r="B574" s="50"/>
      <c r="C574" s="24"/>
      <c r="D574" s="24"/>
      <c r="E574" s="24"/>
      <c r="F574" s="25"/>
      <c r="G574" s="25"/>
      <c r="H574" s="25"/>
      <c r="I574" s="25"/>
      <c r="J574" s="25"/>
      <c r="K574" s="25"/>
      <c r="L574" s="25"/>
      <c r="M574" s="25"/>
      <c r="N574" s="25"/>
      <c r="O574" s="25"/>
      <c r="P574" s="25"/>
      <c r="Q574" s="25"/>
      <c r="R574" s="24"/>
      <c r="S574" s="26">
        <f t="shared" si="34"/>
        <v>0</v>
      </c>
      <c r="T574" s="26">
        <f>COUNTIF($V$4:V574,V574)</f>
        <v>531</v>
      </c>
      <c r="U574" s="26" t="str">
        <f>IF(T574=1,COUNTIF($T$4:T574,1),"")</f>
        <v/>
      </c>
      <c r="V574" s="27" t="str">
        <f t="shared" si="36"/>
        <v/>
      </c>
      <c r="W574" s="27">
        <f t="shared" si="35"/>
        <v>0</v>
      </c>
      <c r="X574" s="28"/>
      <c r="Y574" s="27"/>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c r="DO574" s="10"/>
      <c r="DP574" s="10"/>
      <c r="DQ574" s="10"/>
      <c r="DR574" s="10"/>
      <c r="DS574" s="10"/>
      <c r="DT574" s="10"/>
      <c r="DU574" s="10"/>
      <c r="DV574" s="10"/>
      <c r="DW574" s="10"/>
      <c r="DX574" s="10"/>
      <c r="DY574" s="10"/>
      <c r="DZ574" s="10"/>
      <c r="EA574" s="10"/>
      <c r="EB574" s="10"/>
      <c r="EC574" s="10"/>
      <c r="ED574" s="10"/>
      <c r="EE574" s="10"/>
      <c r="EF574" s="10"/>
      <c r="EG574" s="10"/>
      <c r="EH574" s="10"/>
      <c r="EI574" s="10"/>
      <c r="EJ574" s="10"/>
      <c r="EK574" s="10"/>
      <c r="EL574" s="10"/>
      <c r="EM574" s="10"/>
      <c r="EN574" s="10"/>
      <c r="EO574" s="10"/>
      <c r="EP574" s="10"/>
      <c r="EQ574" s="10"/>
      <c r="ER574" s="10"/>
      <c r="ES574" s="10"/>
      <c r="ET574" s="10"/>
      <c r="EU574" s="10"/>
      <c r="EV574" s="10"/>
      <c r="EW574" s="10"/>
      <c r="EX574" s="10"/>
      <c r="EY574" s="10"/>
      <c r="EZ574" s="10"/>
      <c r="FA574" s="10"/>
      <c r="FB574" s="10"/>
      <c r="FC574" s="10"/>
      <c r="FD574" s="10"/>
      <c r="FE574" s="10"/>
      <c r="FF574" s="10"/>
      <c r="FG574" s="10"/>
      <c r="FH574" s="10"/>
      <c r="FI574" s="10"/>
      <c r="FJ574" s="10"/>
      <c r="FK574" s="10"/>
      <c r="FL574" s="10"/>
      <c r="FM574" s="10"/>
      <c r="FN574" s="10"/>
      <c r="FO574" s="10"/>
      <c r="FP574" s="10"/>
      <c r="FQ574" s="10"/>
      <c r="FR574" s="10"/>
      <c r="FS574" s="10"/>
      <c r="FT574" s="10"/>
      <c r="FU574" s="10"/>
      <c r="FV574" s="10"/>
      <c r="FW574" s="10"/>
      <c r="FX574" s="10"/>
      <c r="FY574" s="10"/>
      <c r="FZ574" s="10"/>
      <c r="GA574" s="10"/>
      <c r="GB574" s="10"/>
      <c r="GC574" s="10"/>
      <c r="GD574" s="10"/>
      <c r="GE574" s="10"/>
      <c r="GF574" s="10"/>
      <c r="GG574" s="10"/>
      <c r="GH574" s="10"/>
      <c r="GI574" s="10"/>
      <c r="GJ574" s="10"/>
      <c r="GK574" s="10"/>
      <c r="GL574" s="10"/>
      <c r="GM574" s="10"/>
      <c r="GN574" s="10"/>
      <c r="GO574" s="10"/>
      <c r="GP574" s="10"/>
      <c r="GQ574" s="10"/>
      <c r="GR574" s="10"/>
      <c r="GS574" s="10"/>
      <c r="GT574" s="10"/>
      <c r="GU574" s="10"/>
      <c r="GV574" s="10"/>
      <c r="GW574" s="10"/>
      <c r="GX574" s="10"/>
      <c r="GY574" s="10"/>
      <c r="GZ574" s="10"/>
      <c r="HA574" s="10"/>
      <c r="HB574" s="10"/>
      <c r="HC574" s="10"/>
      <c r="HD574" s="10"/>
      <c r="HE574" s="10"/>
      <c r="HF574" s="10"/>
      <c r="HG574" s="10"/>
      <c r="HH574" s="10"/>
      <c r="HI574" s="10"/>
      <c r="HJ574" s="10"/>
      <c r="HK574" s="10"/>
      <c r="HL574" s="10"/>
      <c r="HM574" s="10"/>
      <c r="HN574" s="10"/>
      <c r="HO574" s="10"/>
      <c r="HP574" s="10"/>
      <c r="HQ574" s="10"/>
      <c r="HR574" s="10"/>
      <c r="HS574" s="10"/>
      <c r="HT574" s="10"/>
      <c r="HU574" s="10"/>
      <c r="HV574" s="10"/>
      <c r="HW574" s="10"/>
      <c r="HX574" s="10"/>
      <c r="HY574" s="10"/>
      <c r="HZ574" s="10"/>
      <c r="IA574" s="10"/>
      <c r="IB574" s="10"/>
      <c r="IC574" s="10"/>
      <c r="ID574" s="10"/>
      <c r="IE574" s="10"/>
      <c r="IF574" s="10"/>
      <c r="IG574" s="10"/>
      <c r="IH574" s="10"/>
      <c r="II574" s="10"/>
      <c r="IJ574" s="10"/>
      <c r="IK574" s="10"/>
      <c r="IL574" s="10"/>
      <c r="IM574" s="10"/>
      <c r="IN574" s="10"/>
      <c r="IO574" s="10"/>
      <c r="IP574" s="10"/>
      <c r="IQ574" s="10"/>
      <c r="IR574" s="10"/>
      <c r="IS574" s="10"/>
      <c r="IT574" s="10"/>
      <c r="IU574" s="10"/>
      <c r="IV574" s="10"/>
      <c r="IW574" s="10"/>
    </row>
    <row r="575" spans="1:257">
      <c r="A575" s="34"/>
      <c r="B575" s="50"/>
      <c r="C575" s="24"/>
      <c r="D575" s="24"/>
      <c r="E575" s="24"/>
      <c r="F575" s="25"/>
      <c r="G575" s="25"/>
      <c r="H575" s="25"/>
      <c r="I575" s="25"/>
      <c r="J575" s="25"/>
      <c r="K575" s="25"/>
      <c r="L575" s="25"/>
      <c r="M575" s="25"/>
      <c r="N575" s="25"/>
      <c r="O575" s="25"/>
      <c r="P575" s="25"/>
      <c r="Q575" s="25"/>
      <c r="R575" s="24"/>
      <c r="S575" s="26">
        <f t="shared" si="34"/>
        <v>0</v>
      </c>
      <c r="T575" s="26">
        <f>COUNTIF($V$4:V575,V575)</f>
        <v>532</v>
      </c>
      <c r="U575" s="26" t="str">
        <f>IF(T575=1,COUNTIF($T$4:T575,1),"")</f>
        <v/>
      </c>
      <c r="V575" s="27" t="str">
        <f t="shared" si="36"/>
        <v/>
      </c>
      <c r="W575" s="27">
        <f t="shared" si="35"/>
        <v>0</v>
      </c>
      <c r="X575" s="28"/>
      <c r="Y575" s="27"/>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c r="DO575" s="10"/>
      <c r="DP575" s="10"/>
      <c r="DQ575" s="10"/>
      <c r="DR575" s="10"/>
      <c r="DS575" s="10"/>
      <c r="DT575" s="10"/>
      <c r="DU575" s="10"/>
      <c r="DV575" s="10"/>
      <c r="DW575" s="10"/>
      <c r="DX575" s="10"/>
      <c r="DY575" s="10"/>
      <c r="DZ575" s="10"/>
      <c r="EA575" s="10"/>
      <c r="EB575" s="10"/>
      <c r="EC575" s="10"/>
      <c r="ED575" s="10"/>
      <c r="EE575" s="10"/>
      <c r="EF575" s="10"/>
      <c r="EG575" s="10"/>
      <c r="EH575" s="10"/>
      <c r="EI575" s="10"/>
      <c r="EJ575" s="10"/>
      <c r="EK575" s="10"/>
      <c r="EL575" s="10"/>
      <c r="EM575" s="10"/>
      <c r="EN575" s="10"/>
      <c r="EO575" s="10"/>
      <c r="EP575" s="10"/>
      <c r="EQ575" s="10"/>
      <c r="ER575" s="10"/>
      <c r="ES575" s="10"/>
      <c r="ET575" s="10"/>
      <c r="EU575" s="10"/>
      <c r="EV575" s="10"/>
      <c r="EW575" s="10"/>
      <c r="EX575" s="10"/>
      <c r="EY575" s="10"/>
      <c r="EZ575" s="10"/>
      <c r="FA575" s="10"/>
      <c r="FB575" s="10"/>
      <c r="FC575" s="10"/>
      <c r="FD575" s="10"/>
      <c r="FE575" s="10"/>
      <c r="FF575" s="10"/>
      <c r="FG575" s="10"/>
      <c r="FH575" s="10"/>
      <c r="FI575" s="10"/>
      <c r="FJ575" s="10"/>
      <c r="FK575" s="10"/>
      <c r="FL575" s="10"/>
      <c r="FM575" s="10"/>
      <c r="FN575" s="10"/>
      <c r="FO575" s="10"/>
      <c r="FP575" s="10"/>
      <c r="FQ575" s="10"/>
      <c r="FR575" s="10"/>
      <c r="FS575" s="10"/>
      <c r="FT575" s="10"/>
      <c r="FU575" s="10"/>
      <c r="FV575" s="10"/>
      <c r="FW575" s="10"/>
      <c r="FX575" s="10"/>
      <c r="FY575" s="10"/>
      <c r="FZ575" s="10"/>
      <c r="GA575" s="10"/>
      <c r="GB575" s="10"/>
      <c r="GC575" s="10"/>
      <c r="GD575" s="10"/>
      <c r="GE575" s="10"/>
      <c r="GF575" s="10"/>
      <c r="GG575" s="10"/>
      <c r="GH575" s="10"/>
      <c r="GI575" s="10"/>
      <c r="GJ575" s="10"/>
      <c r="GK575" s="10"/>
      <c r="GL575" s="10"/>
      <c r="GM575" s="10"/>
      <c r="GN575" s="10"/>
      <c r="GO575" s="10"/>
      <c r="GP575" s="10"/>
      <c r="GQ575" s="10"/>
      <c r="GR575" s="10"/>
      <c r="GS575" s="10"/>
      <c r="GT575" s="10"/>
      <c r="GU575" s="10"/>
      <c r="GV575" s="10"/>
      <c r="GW575" s="10"/>
      <c r="GX575" s="10"/>
      <c r="GY575" s="10"/>
      <c r="GZ575" s="10"/>
      <c r="HA575" s="10"/>
      <c r="HB575" s="10"/>
      <c r="HC575" s="10"/>
      <c r="HD575" s="10"/>
      <c r="HE575" s="10"/>
      <c r="HF575" s="10"/>
      <c r="HG575" s="10"/>
      <c r="HH575" s="10"/>
      <c r="HI575" s="10"/>
      <c r="HJ575" s="10"/>
      <c r="HK575" s="10"/>
      <c r="HL575" s="10"/>
      <c r="HM575" s="10"/>
      <c r="HN575" s="10"/>
      <c r="HO575" s="10"/>
      <c r="HP575" s="10"/>
      <c r="HQ575" s="10"/>
      <c r="HR575" s="10"/>
      <c r="HS575" s="10"/>
      <c r="HT575" s="10"/>
      <c r="HU575" s="10"/>
      <c r="HV575" s="10"/>
      <c r="HW575" s="10"/>
      <c r="HX575" s="10"/>
      <c r="HY575" s="10"/>
      <c r="HZ575" s="10"/>
      <c r="IA575" s="10"/>
      <c r="IB575" s="10"/>
      <c r="IC575" s="10"/>
      <c r="ID575" s="10"/>
      <c r="IE575" s="10"/>
      <c r="IF575" s="10"/>
      <c r="IG575" s="10"/>
      <c r="IH575" s="10"/>
      <c r="II575" s="10"/>
      <c r="IJ575" s="10"/>
      <c r="IK575" s="10"/>
      <c r="IL575" s="10"/>
      <c r="IM575" s="10"/>
      <c r="IN575" s="10"/>
      <c r="IO575" s="10"/>
      <c r="IP575" s="10"/>
      <c r="IQ575" s="10"/>
      <c r="IR575" s="10"/>
      <c r="IS575" s="10"/>
      <c r="IT575" s="10"/>
      <c r="IU575" s="10"/>
      <c r="IV575" s="10"/>
      <c r="IW575" s="10"/>
    </row>
    <row r="576" spans="1:257">
      <c r="A576" s="34"/>
      <c r="B576" s="50"/>
      <c r="C576" s="24"/>
      <c r="D576" s="24"/>
      <c r="E576" s="24"/>
      <c r="F576" s="25"/>
      <c r="G576" s="25"/>
      <c r="H576" s="25"/>
      <c r="I576" s="25"/>
      <c r="J576" s="25"/>
      <c r="K576" s="25"/>
      <c r="L576" s="25"/>
      <c r="M576" s="25"/>
      <c r="N576" s="25"/>
      <c r="O576" s="25"/>
      <c r="P576" s="25"/>
      <c r="Q576" s="25"/>
      <c r="R576" s="24"/>
      <c r="S576" s="26">
        <f t="shared" si="34"/>
        <v>0</v>
      </c>
      <c r="T576" s="26">
        <f>COUNTIF($V$4:V576,V576)</f>
        <v>533</v>
      </c>
      <c r="U576" s="26" t="str">
        <f>IF(T576=1,COUNTIF($T$4:T576,1),"")</f>
        <v/>
      </c>
      <c r="V576" s="27" t="str">
        <f t="shared" si="36"/>
        <v/>
      </c>
      <c r="W576" s="27">
        <f t="shared" si="35"/>
        <v>0</v>
      </c>
      <c r="X576" s="28"/>
      <c r="Y576" s="27"/>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c r="DO576" s="10"/>
      <c r="DP576" s="10"/>
      <c r="DQ576" s="10"/>
      <c r="DR576" s="10"/>
      <c r="DS576" s="10"/>
      <c r="DT576" s="10"/>
      <c r="DU576" s="10"/>
      <c r="DV576" s="10"/>
      <c r="DW576" s="10"/>
      <c r="DX576" s="10"/>
      <c r="DY576" s="10"/>
      <c r="DZ576" s="10"/>
      <c r="EA576" s="10"/>
      <c r="EB576" s="10"/>
      <c r="EC576" s="10"/>
      <c r="ED576" s="10"/>
      <c r="EE576" s="10"/>
      <c r="EF576" s="10"/>
      <c r="EG576" s="10"/>
      <c r="EH576" s="10"/>
      <c r="EI576" s="10"/>
      <c r="EJ576" s="10"/>
      <c r="EK576" s="10"/>
      <c r="EL576" s="10"/>
      <c r="EM576" s="10"/>
      <c r="EN576" s="10"/>
      <c r="EO576" s="10"/>
      <c r="EP576" s="10"/>
      <c r="EQ576" s="10"/>
      <c r="ER576" s="10"/>
      <c r="ES576" s="10"/>
      <c r="ET576" s="10"/>
      <c r="EU576" s="10"/>
      <c r="EV576" s="10"/>
      <c r="EW576" s="10"/>
      <c r="EX576" s="10"/>
      <c r="EY576" s="10"/>
      <c r="EZ576" s="10"/>
      <c r="FA576" s="10"/>
      <c r="FB576" s="10"/>
      <c r="FC576" s="10"/>
      <c r="FD576" s="10"/>
      <c r="FE576" s="10"/>
      <c r="FF576" s="10"/>
      <c r="FG576" s="10"/>
      <c r="FH576" s="10"/>
      <c r="FI576" s="10"/>
      <c r="FJ576" s="10"/>
      <c r="FK576" s="10"/>
      <c r="FL576" s="10"/>
      <c r="FM576" s="10"/>
      <c r="FN576" s="10"/>
      <c r="FO576" s="10"/>
      <c r="FP576" s="10"/>
      <c r="FQ576" s="10"/>
      <c r="FR576" s="10"/>
      <c r="FS576" s="10"/>
      <c r="FT576" s="10"/>
      <c r="FU576" s="10"/>
      <c r="FV576" s="10"/>
      <c r="FW576" s="10"/>
      <c r="FX576" s="10"/>
      <c r="FY576" s="10"/>
      <c r="FZ576" s="10"/>
      <c r="GA576" s="10"/>
      <c r="GB576" s="10"/>
      <c r="GC576" s="10"/>
      <c r="GD576" s="10"/>
      <c r="GE576" s="10"/>
      <c r="GF576" s="10"/>
      <c r="GG576" s="10"/>
      <c r="GH576" s="10"/>
      <c r="GI576" s="10"/>
      <c r="GJ576" s="10"/>
      <c r="GK576" s="10"/>
      <c r="GL576" s="10"/>
      <c r="GM576" s="10"/>
      <c r="GN576" s="10"/>
      <c r="GO576" s="10"/>
      <c r="GP576" s="10"/>
      <c r="GQ576" s="10"/>
      <c r="GR576" s="10"/>
      <c r="GS576" s="10"/>
      <c r="GT576" s="10"/>
      <c r="GU576" s="10"/>
      <c r="GV576" s="10"/>
      <c r="GW576" s="10"/>
      <c r="GX576" s="10"/>
      <c r="GY576" s="10"/>
      <c r="GZ576" s="10"/>
      <c r="HA576" s="10"/>
      <c r="HB576" s="10"/>
      <c r="HC576" s="10"/>
      <c r="HD576" s="10"/>
      <c r="HE576" s="10"/>
      <c r="HF576" s="10"/>
      <c r="HG576" s="10"/>
      <c r="HH576" s="10"/>
      <c r="HI576" s="10"/>
      <c r="HJ576" s="10"/>
      <c r="HK576" s="10"/>
      <c r="HL576" s="10"/>
      <c r="HM576" s="10"/>
      <c r="HN576" s="10"/>
      <c r="HO576" s="10"/>
      <c r="HP576" s="10"/>
      <c r="HQ576" s="10"/>
      <c r="HR576" s="10"/>
      <c r="HS576" s="10"/>
      <c r="HT576" s="10"/>
      <c r="HU576" s="10"/>
      <c r="HV576" s="10"/>
      <c r="HW576" s="10"/>
      <c r="HX576" s="10"/>
      <c r="HY576" s="10"/>
      <c r="HZ576" s="10"/>
      <c r="IA576" s="10"/>
      <c r="IB576" s="10"/>
      <c r="IC576" s="10"/>
      <c r="ID576" s="10"/>
      <c r="IE576" s="10"/>
      <c r="IF576" s="10"/>
      <c r="IG576" s="10"/>
      <c r="IH576" s="10"/>
      <c r="II576" s="10"/>
      <c r="IJ576" s="10"/>
      <c r="IK576" s="10"/>
      <c r="IL576" s="10"/>
      <c r="IM576" s="10"/>
      <c r="IN576" s="10"/>
      <c r="IO576" s="10"/>
      <c r="IP576" s="10"/>
      <c r="IQ576" s="10"/>
      <c r="IR576" s="10"/>
      <c r="IS576" s="10"/>
      <c r="IT576" s="10"/>
      <c r="IU576" s="10"/>
      <c r="IV576" s="10"/>
      <c r="IW576" s="10"/>
    </row>
    <row r="577" spans="1:257">
      <c r="A577" s="34"/>
      <c r="B577" s="50"/>
      <c r="C577" s="24"/>
      <c r="D577" s="24"/>
      <c r="E577" s="24"/>
      <c r="F577" s="25"/>
      <c r="G577" s="25"/>
      <c r="H577" s="25"/>
      <c r="I577" s="25"/>
      <c r="J577" s="25"/>
      <c r="K577" s="25"/>
      <c r="L577" s="25"/>
      <c r="M577" s="25"/>
      <c r="N577" s="25"/>
      <c r="O577" s="25"/>
      <c r="P577" s="25"/>
      <c r="Q577" s="25"/>
      <c r="R577" s="24"/>
      <c r="S577" s="26">
        <f t="shared" si="34"/>
        <v>0</v>
      </c>
      <c r="T577" s="26">
        <f>COUNTIF($V$4:V577,V577)</f>
        <v>534</v>
      </c>
      <c r="U577" s="26" t="str">
        <f>IF(T577=1,COUNTIF($T$4:T577,1),"")</f>
        <v/>
      </c>
      <c r="V577" s="27" t="str">
        <f t="shared" si="36"/>
        <v/>
      </c>
      <c r="W577" s="27">
        <f t="shared" si="35"/>
        <v>0</v>
      </c>
      <c r="X577" s="28"/>
      <c r="Y577" s="27"/>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c r="DO577" s="10"/>
      <c r="DP577" s="10"/>
      <c r="DQ577" s="10"/>
      <c r="DR577" s="10"/>
      <c r="DS577" s="10"/>
      <c r="DT577" s="10"/>
      <c r="DU577" s="10"/>
      <c r="DV577" s="10"/>
      <c r="DW577" s="10"/>
      <c r="DX577" s="10"/>
      <c r="DY577" s="10"/>
      <c r="DZ577" s="10"/>
      <c r="EA577" s="10"/>
      <c r="EB577" s="10"/>
      <c r="EC577" s="10"/>
      <c r="ED577" s="10"/>
      <c r="EE577" s="10"/>
      <c r="EF577" s="10"/>
      <c r="EG577" s="10"/>
      <c r="EH577" s="10"/>
      <c r="EI577" s="10"/>
      <c r="EJ577" s="10"/>
      <c r="EK577" s="10"/>
      <c r="EL577" s="10"/>
      <c r="EM577" s="10"/>
      <c r="EN577" s="10"/>
      <c r="EO577" s="10"/>
      <c r="EP577" s="10"/>
      <c r="EQ577" s="10"/>
      <c r="ER577" s="10"/>
      <c r="ES577" s="10"/>
      <c r="ET577" s="10"/>
      <c r="EU577" s="10"/>
      <c r="EV577" s="10"/>
      <c r="EW577" s="10"/>
      <c r="EX577" s="10"/>
      <c r="EY577" s="10"/>
      <c r="EZ577" s="10"/>
      <c r="FA577" s="10"/>
      <c r="FB577" s="10"/>
      <c r="FC577" s="10"/>
      <c r="FD577" s="10"/>
      <c r="FE577" s="10"/>
      <c r="FF577" s="10"/>
      <c r="FG577" s="10"/>
      <c r="FH577" s="10"/>
      <c r="FI577" s="10"/>
      <c r="FJ577" s="10"/>
      <c r="FK577" s="10"/>
      <c r="FL577" s="10"/>
      <c r="FM577" s="10"/>
      <c r="FN577" s="10"/>
      <c r="FO577" s="10"/>
      <c r="FP577" s="10"/>
      <c r="FQ577" s="10"/>
      <c r="FR577" s="10"/>
      <c r="FS577" s="10"/>
      <c r="FT577" s="10"/>
      <c r="FU577" s="10"/>
      <c r="FV577" s="10"/>
      <c r="FW577" s="10"/>
      <c r="FX577" s="10"/>
      <c r="FY577" s="10"/>
      <c r="FZ577" s="10"/>
      <c r="GA577" s="10"/>
      <c r="GB577" s="10"/>
      <c r="GC577" s="10"/>
      <c r="GD577" s="10"/>
      <c r="GE577" s="10"/>
      <c r="GF577" s="10"/>
      <c r="GG577" s="10"/>
      <c r="GH577" s="10"/>
      <c r="GI577" s="10"/>
      <c r="GJ577" s="10"/>
      <c r="GK577" s="10"/>
      <c r="GL577" s="10"/>
      <c r="GM577" s="10"/>
      <c r="GN577" s="10"/>
      <c r="GO577" s="10"/>
      <c r="GP577" s="10"/>
      <c r="GQ577" s="10"/>
      <c r="GR577" s="10"/>
      <c r="GS577" s="10"/>
      <c r="GT577" s="10"/>
      <c r="GU577" s="10"/>
      <c r="GV577" s="10"/>
      <c r="GW577" s="10"/>
      <c r="GX577" s="10"/>
      <c r="GY577" s="10"/>
      <c r="GZ577" s="10"/>
      <c r="HA577" s="10"/>
      <c r="HB577" s="10"/>
      <c r="HC577" s="10"/>
      <c r="HD577" s="10"/>
      <c r="HE577" s="10"/>
      <c r="HF577" s="10"/>
      <c r="HG577" s="10"/>
      <c r="HH577" s="10"/>
      <c r="HI577" s="10"/>
      <c r="HJ577" s="10"/>
      <c r="HK577" s="10"/>
      <c r="HL577" s="10"/>
      <c r="HM577" s="10"/>
      <c r="HN577" s="10"/>
      <c r="HO577" s="10"/>
      <c r="HP577" s="10"/>
      <c r="HQ577" s="10"/>
      <c r="HR577" s="10"/>
      <c r="HS577" s="10"/>
      <c r="HT577" s="10"/>
      <c r="HU577" s="10"/>
      <c r="HV577" s="10"/>
      <c r="HW577" s="10"/>
      <c r="HX577" s="10"/>
      <c r="HY577" s="10"/>
      <c r="HZ577" s="10"/>
      <c r="IA577" s="10"/>
      <c r="IB577" s="10"/>
      <c r="IC577" s="10"/>
      <c r="ID577" s="10"/>
      <c r="IE577" s="10"/>
      <c r="IF577" s="10"/>
      <c r="IG577" s="10"/>
      <c r="IH577" s="10"/>
      <c r="II577" s="10"/>
      <c r="IJ577" s="10"/>
      <c r="IK577" s="10"/>
      <c r="IL577" s="10"/>
      <c r="IM577" s="10"/>
      <c r="IN577" s="10"/>
      <c r="IO577" s="10"/>
      <c r="IP577" s="10"/>
      <c r="IQ577" s="10"/>
      <c r="IR577" s="10"/>
      <c r="IS577" s="10"/>
      <c r="IT577" s="10"/>
      <c r="IU577" s="10"/>
      <c r="IV577" s="10"/>
      <c r="IW577" s="10"/>
    </row>
    <row r="578" spans="1:257">
      <c r="A578" s="34"/>
      <c r="B578" s="50"/>
      <c r="C578" s="24"/>
      <c r="D578" s="24"/>
      <c r="E578" s="24"/>
      <c r="F578" s="25"/>
      <c r="G578" s="25"/>
      <c r="H578" s="25"/>
      <c r="I578" s="25"/>
      <c r="J578" s="25"/>
      <c r="K578" s="25"/>
      <c r="L578" s="25"/>
      <c r="M578" s="25"/>
      <c r="N578" s="25"/>
      <c r="O578" s="25"/>
      <c r="P578" s="25"/>
      <c r="Q578" s="25"/>
      <c r="R578" s="24"/>
      <c r="S578" s="26">
        <f t="shared" si="34"/>
        <v>0</v>
      </c>
      <c r="T578" s="26">
        <f>COUNTIF($V$4:V578,V578)</f>
        <v>535</v>
      </c>
      <c r="U578" s="26" t="str">
        <f>IF(T578=1,COUNTIF($T$4:T578,1),"")</f>
        <v/>
      </c>
      <c r="V578" s="27" t="str">
        <f t="shared" si="36"/>
        <v/>
      </c>
      <c r="W578" s="27">
        <f t="shared" si="35"/>
        <v>0</v>
      </c>
      <c r="X578" s="28"/>
      <c r="Y578" s="27"/>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c r="DO578" s="10"/>
      <c r="DP578" s="10"/>
      <c r="DQ578" s="10"/>
      <c r="DR578" s="10"/>
      <c r="DS578" s="10"/>
      <c r="DT578" s="10"/>
      <c r="DU578" s="10"/>
      <c r="DV578" s="10"/>
      <c r="DW578" s="10"/>
      <c r="DX578" s="10"/>
      <c r="DY578" s="10"/>
      <c r="DZ578" s="10"/>
      <c r="EA578" s="10"/>
      <c r="EB578" s="10"/>
      <c r="EC578" s="10"/>
      <c r="ED578" s="10"/>
      <c r="EE578" s="10"/>
      <c r="EF578" s="10"/>
      <c r="EG578" s="10"/>
      <c r="EH578" s="10"/>
      <c r="EI578" s="10"/>
      <c r="EJ578" s="10"/>
      <c r="EK578" s="10"/>
      <c r="EL578" s="10"/>
      <c r="EM578" s="10"/>
      <c r="EN578" s="10"/>
      <c r="EO578" s="10"/>
      <c r="EP578" s="10"/>
      <c r="EQ578" s="10"/>
      <c r="ER578" s="10"/>
      <c r="ES578" s="10"/>
      <c r="ET578" s="10"/>
      <c r="EU578" s="10"/>
      <c r="EV578" s="10"/>
      <c r="EW578" s="10"/>
      <c r="EX578" s="10"/>
      <c r="EY578" s="10"/>
      <c r="EZ578" s="10"/>
      <c r="FA578" s="10"/>
      <c r="FB578" s="10"/>
      <c r="FC578" s="10"/>
      <c r="FD578" s="10"/>
      <c r="FE578" s="10"/>
      <c r="FF578" s="10"/>
      <c r="FG578" s="10"/>
      <c r="FH578" s="10"/>
      <c r="FI578" s="10"/>
      <c r="FJ578" s="10"/>
      <c r="FK578" s="10"/>
      <c r="FL578" s="10"/>
      <c r="FM578" s="10"/>
      <c r="FN578" s="10"/>
      <c r="FO578" s="10"/>
      <c r="FP578" s="10"/>
      <c r="FQ578" s="10"/>
      <c r="FR578" s="10"/>
      <c r="FS578" s="10"/>
      <c r="FT578" s="10"/>
      <c r="FU578" s="10"/>
      <c r="FV578" s="10"/>
      <c r="FW578" s="10"/>
      <c r="FX578" s="10"/>
      <c r="FY578" s="10"/>
      <c r="FZ578" s="10"/>
      <c r="GA578" s="10"/>
      <c r="GB578" s="10"/>
      <c r="GC578" s="10"/>
      <c r="GD578" s="10"/>
      <c r="GE578" s="10"/>
      <c r="GF578" s="10"/>
      <c r="GG578" s="10"/>
      <c r="GH578" s="10"/>
      <c r="GI578" s="10"/>
      <c r="GJ578" s="10"/>
      <c r="GK578" s="10"/>
      <c r="GL578" s="10"/>
      <c r="GM578" s="10"/>
      <c r="GN578" s="10"/>
      <c r="GO578" s="10"/>
      <c r="GP578" s="10"/>
      <c r="GQ578" s="10"/>
      <c r="GR578" s="10"/>
      <c r="GS578" s="10"/>
      <c r="GT578" s="10"/>
      <c r="GU578" s="10"/>
      <c r="GV578" s="10"/>
      <c r="GW578" s="10"/>
      <c r="GX578" s="10"/>
      <c r="GY578" s="10"/>
      <c r="GZ578" s="10"/>
      <c r="HA578" s="10"/>
      <c r="HB578" s="10"/>
      <c r="HC578" s="10"/>
      <c r="HD578" s="10"/>
      <c r="HE578" s="10"/>
      <c r="HF578" s="10"/>
      <c r="HG578" s="10"/>
      <c r="HH578" s="10"/>
      <c r="HI578" s="10"/>
      <c r="HJ578" s="10"/>
      <c r="HK578" s="10"/>
      <c r="HL578" s="10"/>
      <c r="HM578" s="10"/>
      <c r="HN578" s="10"/>
      <c r="HO578" s="10"/>
      <c r="HP578" s="10"/>
      <c r="HQ578" s="10"/>
      <c r="HR578" s="10"/>
      <c r="HS578" s="10"/>
      <c r="HT578" s="10"/>
      <c r="HU578" s="10"/>
      <c r="HV578" s="10"/>
      <c r="HW578" s="10"/>
      <c r="HX578" s="10"/>
      <c r="HY578" s="10"/>
      <c r="HZ578" s="10"/>
      <c r="IA578" s="10"/>
      <c r="IB578" s="10"/>
      <c r="IC578" s="10"/>
      <c r="ID578" s="10"/>
      <c r="IE578" s="10"/>
      <c r="IF578" s="10"/>
      <c r="IG578" s="10"/>
      <c r="IH578" s="10"/>
      <c r="II578" s="10"/>
      <c r="IJ578" s="10"/>
      <c r="IK578" s="10"/>
      <c r="IL578" s="10"/>
      <c r="IM578" s="10"/>
      <c r="IN578" s="10"/>
      <c r="IO578" s="10"/>
      <c r="IP578" s="10"/>
      <c r="IQ578" s="10"/>
      <c r="IR578" s="10"/>
      <c r="IS578" s="10"/>
      <c r="IT578" s="10"/>
      <c r="IU578" s="10"/>
      <c r="IV578" s="10"/>
      <c r="IW578" s="10"/>
    </row>
    <row r="579" spans="1:257">
      <c r="A579" s="34"/>
      <c r="B579" s="50"/>
      <c r="C579" s="24"/>
      <c r="D579" s="24"/>
      <c r="E579" s="24"/>
      <c r="F579" s="25"/>
      <c r="G579" s="25"/>
      <c r="H579" s="25"/>
      <c r="I579" s="25"/>
      <c r="J579" s="25"/>
      <c r="K579" s="25"/>
      <c r="L579" s="25"/>
      <c r="M579" s="25"/>
      <c r="N579" s="25"/>
      <c r="O579" s="25"/>
      <c r="P579" s="25"/>
      <c r="Q579" s="25"/>
      <c r="R579" s="24"/>
      <c r="S579" s="26">
        <f t="shared" si="34"/>
        <v>0</v>
      </c>
      <c r="T579" s="26">
        <f>COUNTIF($V$4:V579,V579)</f>
        <v>536</v>
      </c>
      <c r="U579" s="26" t="str">
        <f>IF(T579=1,COUNTIF($T$4:T579,1),"")</f>
        <v/>
      </c>
      <c r="V579" s="27" t="str">
        <f t="shared" si="36"/>
        <v/>
      </c>
      <c r="W579" s="27">
        <f t="shared" si="35"/>
        <v>0</v>
      </c>
      <c r="X579" s="28"/>
      <c r="Y579" s="27"/>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c r="DO579" s="10"/>
      <c r="DP579" s="10"/>
      <c r="DQ579" s="10"/>
      <c r="DR579" s="10"/>
      <c r="DS579" s="10"/>
      <c r="DT579" s="10"/>
      <c r="DU579" s="10"/>
      <c r="DV579" s="10"/>
      <c r="DW579" s="10"/>
      <c r="DX579" s="10"/>
      <c r="DY579" s="10"/>
      <c r="DZ579" s="10"/>
      <c r="EA579" s="10"/>
      <c r="EB579" s="10"/>
      <c r="EC579" s="10"/>
      <c r="ED579" s="10"/>
      <c r="EE579" s="10"/>
      <c r="EF579" s="10"/>
      <c r="EG579" s="10"/>
      <c r="EH579" s="10"/>
      <c r="EI579" s="10"/>
      <c r="EJ579" s="10"/>
      <c r="EK579" s="10"/>
      <c r="EL579" s="10"/>
      <c r="EM579" s="10"/>
      <c r="EN579" s="10"/>
      <c r="EO579" s="10"/>
      <c r="EP579" s="10"/>
      <c r="EQ579" s="10"/>
      <c r="ER579" s="10"/>
      <c r="ES579" s="10"/>
      <c r="ET579" s="10"/>
      <c r="EU579" s="10"/>
      <c r="EV579" s="10"/>
      <c r="EW579" s="10"/>
      <c r="EX579" s="10"/>
      <c r="EY579" s="10"/>
      <c r="EZ579" s="10"/>
      <c r="FA579" s="10"/>
      <c r="FB579" s="10"/>
      <c r="FC579" s="10"/>
      <c r="FD579" s="10"/>
      <c r="FE579" s="10"/>
      <c r="FF579" s="10"/>
      <c r="FG579" s="10"/>
      <c r="FH579" s="10"/>
      <c r="FI579" s="10"/>
      <c r="FJ579" s="10"/>
      <c r="FK579" s="10"/>
      <c r="FL579" s="10"/>
      <c r="FM579" s="10"/>
      <c r="FN579" s="10"/>
      <c r="FO579" s="10"/>
      <c r="FP579" s="10"/>
      <c r="FQ579" s="10"/>
      <c r="FR579" s="10"/>
      <c r="FS579" s="10"/>
      <c r="FT579" s="10"/>
      <c r="FU579" s="10"/>
      <c r="FV579" s="10"/>
      <c r="FW579" s="10"/>
      <c r="FX579" s="10"/>
      <c r="FY579" s="10"/>
      <c r="FZ579" s="10"/>
      <c r="GA579" s="10"/>
      <c r="GB579" s="10"/>
      <c r="GC579" s="10"/>
      <c r="GD579" s="10"/>
      <c r="GE579" s="10"/>
      <c r="GF579" s="10"/>
      <c r="GG579" s="10"/>
      <c r="GH579" s="10"/>
      <c r="GI579" s="10"/>
      <c r="GJ579" s="10"/>
      <c r="GK579" s="10"/>
      <c r="GL579" s="10"/>
      <c r="GM579" s="10"/>
      <c r="GN579" s="10"/>
      <c r="GO579" s="10"/>
      <c r="GP579" s="10"/>
      <c r="GQ579" s="10"/>
      <c r="GR579" s="10"/>
      <c r="GS579" s="10"/>
      <c r="GT579" s="10"/>
      <c r="GU579" s="10"/>
      <c r="GV579" s="10"/>
      <c r="GW579" s="10"/>
      <c r="GX579" s="10"/>
      <c r="GY579" s="10"/>
      <c r="GZ579" s="10"/>
      <c r="HA579" s="10"/>
      <c r="HB579" s="10"/>
      <c r="HC579" s="10"/>
      <c r="HD579" s="10"/>
      <c r="HE579" s="10"/>
      <c r="HF579" s="10"/>
      <c r="HG579" s="10"/>
      <c r="HH579" s="10"/>
      <c r="HI579" s="10"/>
      <c r="HJ579" s="10"/>
      <c r="HK579" s="10"/>
      <c r="HL579" s="10"/>
      <c r="HM579" s="10"/>
      <c r="HN579" s="10"/>
      <c r="HO579" s="10"/>
      <c r="HP579" s="10"/>
      <c r="HQ579" s="10"/>
      <c r="HR579" s="10"/>
      <c r="HS579" s="10"/>
      <c r="HT579" s="10"/>
      <c r="HU579" s="10"/>
      <c r="HV579" s="10"/>
      <c r="HW579" s="10"/>
      <c r="HX579" s="10"/>
      <c r="HY579" s="10"/>
      <c r="HZ579" s="10"/>
      <c r="IA579" s="10"/>
      <c r="IB579" s="10"/>
      <c r="IC579" s="10"/>
      <c r="ID579" s="10"/>
      <c r="IE579" s="10"/>
      <c r="IF579" s="10"/>
      <c r="IG579" s="10"/>
      <c r="IH579" s="10"/>
      <c r="II579" s="10"/>
      <c r="IJ579" s="10"/>
      <c r="IK579" s="10"/>
      <c r="IL579" s="10"/>
      <c r="IM579" s="10"/>
      <c r="IN579" s="10"/>
      <c r="IO579" s="10"/>
      <c r="IP579" s="10"/>
      <c r="IQ579" s="10"/>
      <c r="IR579" s="10"/>
      <c r="IS579" s="10"/>
      <c r="IT579" s="10"/>
      <c r="IU579" s="10"/>
      <c r="IV579" s="10"/>
      <c r="IW579" s="10"/>
    </row>
    <row r="580" spans="1:257">
      <c r="A580" s="34"/>
      <c r="B580" s="50"/>
      <c r="C580" s="24"/>
      <c r="D580" s="24"/>
      <c r="E580" s="24"/>
      <c r="F580" s="25"/>
      <c r="G580" s="25"/>
      <c r="H580" s="25"/>
      <c r="I580" s="25"/>
      <c r="J580" s="25"/>
      <c r="K580" s="25"/>
      <c r="L580" s="25"/>
      <c r="M580" s="25"/>
      <c r="N580" s="25"/>
      <c r="O580" s="25"/>
      <c r="P580" s="25"/>
      <c r="Q580" s="25"/>
      <c r="R580" s="24"/>
      <c r="S580" s="26">
        <f t="shared" ref="S580:S600" si="37">A580</f>
        <v>0</v>
      </c>
      <c r="T580" s="26">
        <f>COUNTIF($V$4:V580,V580)</f>
        <v>537</v>
      </c>
      <c r="U580" s="26" t="str">
        <f>IF(T580=1,COUNTIF($T$4:T580,1),"")</f>
        <v/>
      </c>
      <c r="V580" s="27" t="str">
        <f t="shared" si="36"/>
        <v/>
      </c>
      <c r="W580" s="27">
        <f t="shared" ref="W580:W600" si="38">$F580</f>
        <v>0</v>
      </c>
      <c r="X580" s="28"/>
      <c r="Y580" s="27"/>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c r="DR580" s="10"/>
      <c r="DS580" s="10"/>
      <c r="DT580" s="10"/>
      <c r="DU580" s="10"/>
      <c r="DV580" s="10"/>
      <c r="DW580" s="10"/>
      <c r="DX580" s="10"/>
      <c r="DY580" s="10"/>
      <c r="DZ580" s="10"/>
      <c r="EA580" s="10"/>
      <c r="EB580" s="10"/>
      <c r="EC580" s="10"/>
      <c r="ED580" s="10"/>
      <c r="EE580" s="10"/>
      <c r="EF580" s="10"/>
      <c r="EG580" s="10"/>
      <c r="EH580" s="10"/>
      <c r="EI580" s="10"/>
      <c r="EJ580" s="10"/>
      <c r="EK580" s="10"/>
      <c r="EL580" s="10"/>
      <c r="EM580" s="10"/>
      <c r="EN580" s="10"/>
      <c r="EO580" s="10"/>
      <c r="EP580" s="10"/>
      <c r="EQ580" s="10"/>
      <c r="ER580" s="10"/>
      <c r="ES580" s="10"/>
      <c r="ET580" s="10"/>
      <c r="EU580" s="10"/>
      <c r="EV580" s="10"/>
      <c r="EW580" s="10"/>
      <c r="EX580" s="10"/>
      <c r="EY580" s="10"/>
      <c r="EZ580" s="10"/>
      <c r="FA580" s="10"/>
      <c r="FB580" s="10"/>
      <c r="FC580" s="10"/>
      <c r="FD580" s="10"/>
      <c r="FE580" s="10"/>
      <c r="FF580" s="10"/>
      <c r="FG580" s="10"/>
      <c r="FH580" s="10"/>
      <c r="FI580" s="10"/>
      <c r="FJ580" s="10"/>
      <c r="FK580" s="10"/>
      <c r="FL580" s="10"/>
      <c r="FM580" s="10"/>
      <c r="FN580" s="10"/>
      <c r="FO580" s="10"/>
      <c r="FP580" s="10"/>
      <c r="FQ580" s="10"/>
      <c r="FR580" s="10"/>
      <c r="FS580" s="10"/>
      <c r="FT580" s="10"/>
      <c r="FU580" s="10"/>
      <c r="FV580" s="10"/>
      <c r="FW580" s="10"/>
      <c r="FX580" s="10"/>
      <c r="FY580" s="10"/>
      <c r="FZ580" s="10"/>
      <c r="GA580" s="10"/>
      <c r="GB580" s="10"/>
      <c r="GC580" s="10"/>
      <c r="GD580" s="10"/>
      <c r="GE580" s="10"/>
      <c r="GF580" s="10"/>
      <c r="GG580" s="10"/>
      <c r="GH580" s="10"/>
      <c r="GI580" s="10"/>
      <c r="GJ580" s="10"/>
      <c r="GK580" s="10"/>
      <c r="GL580" s="10"/>
      <c r="GM580" s="10"/>
      <c r="GN580" s="10"/>
      <c r="GO580" s="10"/>
      <c r="GP580" s="10"/>
      <c r="GQ580" s="10"/>
      <c r="GR580" s="10"/>
      <c r="GS580" s="10"/>
      <c r="GT580" s="10"/>
      <c r="GU580" s="10"/>
      <c r="GV580" s="10"/>
      <c r="GW580" s="10"/>
      <c r="GX580" s="10"/>
      <c r="GY580" s="10"/>
      <c r="GZ580" s="10"/>
      <c r="HA580" s="10"/>
      <c r="HB580" s="10"/>
      <c r="HC580" s="10"/>
      <c r="HD580" s="10"/>
      <c r="HE580" s="10"/>
      <c r="HF580" s="10"/>
      <c r="HG580" s="10"/>
      <c r="HH580" s="10"/>
      <c r="HI580" s="10"/>
      <c r="HJ580" s="10"/>
      <c r="HK580" s="10"/>
      <c r="HL580" s="10"/>
      <c r="HM580" s="10"/>
      <c r="HN580" s="10"/>
      <c r="HO580" s="10"/>
      <c r="HP580" s="10"/>
      <c r="HQ580" s="10"/>
      <c r="HR580" s="10"/>
      <c r="HS580" s="10"/>
      <c r="HT580" s="10"/>
      <c r="HU580" s="10"/>
      <c r="HV580" s="10"/>
      <c r="HW580" s="10"/>
      <c r="HX580" s="10"/>
      <c r="HY580" s="10"/>
      <c r="HZ580" s="10"/>
      <c r="IA580" s="10"/>
      <c r="IB580" s="10"/>
      <c r="IC580" s="10"/>
      <c r="ID580" s="10"/>
      <c r="IE580" s="10"/>
      <c r="IF580" s="10"/>
      <c r="IG580" s="10"/>
      <c r="IH580" s="10"/>
      <c r="II580" s="10"/>
      <c r="IJ580" s="10"/>
      <c r="IK580" s="10"/>
      <c r="IL580" s="10"/>
      <c r="IM580" s="10"/>
      <c r="IN580" s="10"/>
      <c r="IO580" s="10"/>
      <c r="IP580" s="10"/>
      <c r="IQ580" s="10"/>
      <c r="IR580" s="10"/>
      <c r="IS580" s="10"/>
      <c r="IT580" s="10"/>
      <c r="IU580" s="10"/>
      <c r="IV580" s="10"/>
      <c r="IW580" s="10"/>
    </row>
    <row r="581" spans="1:257">
      <c r="A581" s="34"/>
      <c r="B581" s="50"/>
      <c r="C581" s="24"/>
      <c r="D581" s="24"/>
      <c r="E581" s="24"/>
      <c r="F581" s="25"/>
      <c r="G581" s="25"/>
      <c r="H581" s="25"/>
      <c r="I581" s="25"/>
      <c r="J581" s="25"/>
      <c r="K581" s="25"/>
      <c r="L581" s="25"/>
      <c r="M581" s="25"/>
      <c r="N581" s="25"/>
      <c r="O581" s="25"/>
      <c r="P581" s="25"/>
      <c r="Q581" s="25"/>
      <c r="R581" s="24"/>
      <c r="S581" s="26">
        <f t="shared" si="37"/>
        <v>0</v>
      </c>
      <c r="T581" s="26">
        <f>COUNTIF($V$4:V581,V581)</f>
        <v>538</v>
      </c>
      <c r="U581" s="26" t="str">
        <f>IF(T581=1,COUNTIF($T$4:T581,1),"")</f>
        <v/>
      </c>
      <c r="V581" s="27" t="str">
        <f t="shared" ref="V581:V600" si="39">$E581&amp;$C581</f>
        <v/>
      </c>
      <c r="W581" s="27">
        <f t="shared" si="38"/>
        <v>0</v>
      </c>
      <c r="X581" s="28"/>
      <c r="Y581" s="27"/>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c r="DO581" s="10"/>
      <c r="DP581" s="10"/>
      <c r="DQ581" s="10"/>
      <c r="DR581" s="10"/>
      <c r="DS581" s="10"/>
      <c r="DT581" s="10"/>
      <c r="DU581" s="10"/>
      <c r="DV581" s="10"/>
      <c r="DW581" s="10"/>
      <c r="DX581" s="10"/>
      <c r="DY581" s="10"/>
      <c r="DZ581" s="10"/>
      <c r="EA581" s="10"/>
      <c r="EB581" s="10"/>
      <c r="EC581" s="10"/>
      <c r="ED581" s="10"/>
      <c r="EE581" s="10"/>
      <c r="EF581" s="10"/>
      <c r="EG581" s="10"/>
      <c r="EH581" s="10"/>
      <c r="EI581" s="10"/>
      <c r="EJ581" s="10"/>
      <c r="EK581" s="10"/>
      <c r="EL581" s="10"/>
      <c r="EM581" s="10"/>
      <c r="EN581" s="10"/>
      <c r="EO581" s="10"/>
      <c r="EP581" s="10"/>
      <c r="EQ581" s="10"/>
      <c r="ER581" s="10"/>
      <c r="ES581" s="10"/>
      <c r="ET581" s="10"/>
      <c r="EU581" s="10"/>
      <c r="EV581" s="10"/>
      <c r="EW581" s="10"/>
      <c r="EX581" s="10"/>
      <c r="EY581" s="10"/>
      <c r="EZ581" s="10"/>
      <c r="FA581" s="10"/>
      <c r="FB581" s="10"/>
      <c r="FC581" s="10"/>
      <c r="FD581" s="10"/>
      <c r="FE581" s="10"/>
      <c r="FF581" s="10"/>
      <c r="FG581" s="10"/>
      <c r="FH581" s="10"/>
      <c r="FI581" s="10"/>
      <c r="FJ581" s="10"/>
      <c r="FK581" s="10"/>
      <c r="FL581" s="10"/>
      <c r="FM581" s="10"/>
      <c r="FN581" s="10"/>
      <c r="FO581" s="10"/>
      <c r="FP581" s="10"/>
      <c r="FQ581" s="10"/>
      <c r="FR581" s="10"/>
      <c r="FS581" s="10"/>
      <c r="FT581" s="10"/>
      <c r="FU581" s="10"/>
      <c r="FV581" s="10"/>
      <c r="FW581" s="10"/>
      <c r="FX581" s="10"/>
      <c r="FY581" s="10"/>
      <c r="FZ581" s="10"/>
      <c r="GA581" s="10"/>
      <c r="GB581" s="10"/>
      <c r="GC581" s="10"/>
      <c r="GD581" s="10"/>
      <c r="GE581" s="10"/>
      <c r="GF581" s="10"/>
      <c r="GG581" s="10"/>
      <c r="GH581" s="10"/>
      <c r="GI581" s="10"/>
      <c r="GJ581" s="10"/>
      <c r="GK581" s="10"/>
      <c r="GL581" s="10"/>
      <c r="GM581" s="10"/>
      <c r="GN581" s="10"/>
      <c r="GO581" s="10"/>
      <c r="GP581" s="10"/>
      <c r="GQ581" s="10"/>
      <c r="GR581" s="10"/>
      <c r="GS581" s="10"/>
      <c r="GT581" s="10"/>
      <c r="GU581" s="10"/>
      <c r="GV581" s="10"/>
      <c r="GW581" s="10"/>
      <c r="GX581" s="10"/>
      <c r="GY581" s="10"/>
      <c r="GZ581" s="10"/>
      <c r="HA581" s="10"/>
      <c r="HB581" s="10"/>
      <c r="HC581" s="10"/>
      <c r="HD581" s="10"/>
      <c r="HE581" s="10"/>
      <c r="HF581" s="10"/>
      <c r="HG581" s="10"/>
      <c r="HH581" s="10"/>
      <c r="HI581" s="10"/>
      <c r="HJ581" s="10"/>
      <c r="HK581" s="10"/>
      <c r="HL581" s="10"/>
      <c r="HM581" s="10"/>
      <c r="HN581" s="10"/>
      <c r="HO581" s="10"/>
      <c r="HP581" s="10"/>
      <c r="HQ581" s="10"/>
      <c r="HR581" s="10"/>
      <c r="HS581" s="10"/>
      <c r="HT581" s="10"/>
      <c r="HU581" s="10"/>
      <c r="HV581" s="10"/>
      <c r="HW581" s="10"/>
      <c r="HX581" s="10"/>
      <c r="HY581" s="10"/>
      <c r="HZ581" s="10"/>
      <c r="IA581" s="10"/>
      <c r="IB581" s="10"/>
      <c r="IC581" s="10"/>
      <c r="ID581" s="10"/>
      <c r="IE581" s="10"/>
      <c r="IF581" s="10"/>
      <c r="IG581" s="10"/>
      <c r="IH581" s="10"/>
      <c r="II581" s="10"/>
      <c r="IJ581" s="10"/>
      <c r="IK581" s="10"/>
      <c r="IL581" s="10"/>
      <c r="IM581" s="10"/>
      <c r="IN581" s="10"/>
      <c r="IO581" s="10"/>
      <c r="IP581" s="10"/>
      <c r="IQ581" s="10"/>
      <c r="IR581" s="10"/>
      <c r="IS581" s="10"/>
      <c r="IT581" s="10"/>
      <c r="IU581" s="10"/>
      <c r="IV581" s="10"/>
      <c r="IW581" s="10"/>
    </row>
    <row r="582" spans="1:257">
      <c r="A582" s="34"/>
      <c r="B582" s="50"/>
      <c r="C582" s="24"/>
      <c r="D582" s="24"/>
      <c r="E582" s="24"/>
      <c r="F582" s="25"/>
      <c r="G582" s="25"/>
      <c r="H582" s="25"/>
      <c r="I582" s="25"/>
      <c r="J582" s="25"/>
      <c r="K582" s="25"/>
      <c r="L582" s="25"/>
      <c r="M582" s="25"/>
      <c r="N582" s="25"/>
      <c r="O582" s="25"/>
      <c r="P582" s="25"/>
      <c r="Q582" s="25"/>
      <c r="R582" s="24"/>
      <c r="S582" s="26">
        <f t="shared" si="37"/>
        <v>0</v>
      </c>
      <c r="T582" s="26">
        <f>COUNTIF($V$4:V582,V582)</f>
        <v>539</v>
      </c>
      <c r="U582" s="26" t="str">
        <f>IF(T582=1,COUNTIF($T$4:T582,1),"")</f>
        <v/>
      </c>
      <c r="V582" s="27" t="str">
        <f t="shared" si="39"/>
        <v/>
      </c>
      <c r="W582" s="27">
        <f t="shared" si="38"/>
        <v>0</v>
      </c>
      <c r="X582" s="28"/>
      <c r="Y582" s="27"/>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c r="DO582" s="10"/>
      <c r="DP582" s="10"/>
      <c r="DQ582" s="10"/>
      <c r="DR582" s="10"/>
      <c r="DS582" s="10"/>
      <c r="DT582" s="10"/>
      <c r="DU582" s="10"/>
      <c r="DV582" s="10"/>
      <c r="DW582" s="10"/>
      <c r="DX582" s="10"/>
      <c r="DY582" s="10"/>
      <c r="DZ582" s="10"/>
      <c r="EA582" s="10"/>
      <c r="EB582" s="10"/>
      <c r="EC582" s="10"/>
      <c r="ED582" s="10"/>
      <c r="EE582" s="10"/>
      <c r="EF582" s="10"/>
      <c r="EG582" s="10"/>
      <c r="EH582" s="10"/>
      <c r="EI582" s="10"/>
      <c r="EJ582" s="10"/>
      <c r="EK582" s="10"/>
      <c r="EL582" s="10"/>
      <c r="EM582" s="10"/>
      <c r="EN582" s="10"/>
      <c r="EO582" s="10"/>
      <c r="EP582" s="10"/>
      <c r="EQ582" s="10"/>
      <c r="ER582" s="10"/>
      <c r="ES582" s="10"/>
      <c r="ET582" s="10"/>
      <c r="EU582" s="10"/>
      <c r="EV582" s="10"/>
      <c r="EW582" s="10"/>
      <c r="EX582" s="10"/>
      <c r="EY582" s="10"/>
      <c r="EZ582" s="10"/>
      <c r="FA582" s="10"/>
      <c r="FB582" s="10"/>
      <c r="FC582" s="10"/>
      <c r="FD582" s="10"/>
      <c r="FE582" s="10"/>
      <c r="FF582" s="10"/>
      <c r="FG582" s="10"/>
      <c r="FH582" s="10"/>
      <c r="FI582" s="10"/>
      <c r="FJ582" s="10"/>
      <c r="FK582" s="10"/>
      <c r="FL582" s="10"/>
      <c r="FM582" s="10"/>
      <c r="FN582" s="10"/>
      <c r="FO582" s="10"/>
      <c r="FP582" s="10"/>
      <c r="FQ582" s="10"/>
      <c r="FR582" s="10"/>
      <c r="FS582" s="10"/>
      <c r="FT582" s="10"/>
      <c r="FU582" s="10"/>
      <c r="FV582" s="10"/>
      <c r="FW582" s="10"/>
      <c r="FX582" s="10"/>
      <c r="FY582" s="10"/>
      <c r="FZ582" s="10"/>
      <c r="GA582" s="10"/>
      <c r="GB582" s="10"/>
      <c r="GC582" s="10"/>
      <c r="GD582" s="10"/>
      <c r="GE582" s="10"/>
      <c r="GF582" s="10"/>
      <c r="GG582" s="10"/>
      <c r="GH582" s="10"/>
      <c r="GI582" s="10"/>
      <c r="GJ582" s="10"/>
      <c r="GK582" s="10"/>
      <c r="GL582" s="10"/>
      <c r="GM582" s="10"/>
      <c r="GN582" s="10"/>
      <c r="GO582" s="10"/>
      <c r="GP582" s="10"/>
      <c r="GQ582" s="10"/>
      <c r="GR582" s="10"/>
      <c r="GS582" s="10"/>
      <c r="GT582" s="10"/>
      <c r="GU582" s="10"/>
      <c r="GV582" s="10"/>
      <c r="GW582" s="10"/>
      <c r="GX582" s="10"/>
      <c r="GY582" s="10"/>
      <c r="GZ582" s="10"/>
      <c r="HA582" s="10"/>
      <c r="HB582" s="10"/>
      <c r="HC582" s="10"/>
      <c r="HD582" s="10"/>
      <c r="HE582" s="10"/>
      <c r="HF582" s="10"/>
      <c r="HG582" s="10"/>
      <c r="HH582" s="10"/>
      <c r="HI582" s="10"/>
      <c r="HJ582" s="10"/>
      <c r="HK582" s="10"/>
      <c r="HL582" s="10"/>
      <c r="HM582" s="10"/>
      <c r="HN582" s="10"/>
      <c r="HO582" s="10"/>
      <c r="HP582" s="10"/>
      <c r="HQ582" s="10"/>
      <c r="HR582" s="10"/>
      <c r="HS582" s="10"/>
      <c r="HT582" s="10"/>
      <c r="HU582" s="10"/>
      <c r="HV582" s="10"/>
      <c r="HW582" s="10"/>
      <c r="HX582" s="10"/>
      <c r="HY582" s="10"/>
      <c r="HZ582" s="10"/>
      <c r="IA582" s="10"/>
      <c r="IB582" s="10"/>
      <c r="IC582" s="10"/>
      <c r="ID582" s="10"/>
      <c r="IE582" s="10"/>
      <c r="IF582" s="10"/>
      <c r="IG582" s="10"/>
      <c r="IH582" s="10"/>
      <c r="II582" s="10"/>
      <c r="IJ582" s="10"/>
      <c r="IK582" s="10"/>
      <c r="IL582" s="10"/>
      <c r="IM582" s="10"/>
      <c r="IN582" s="10"/>
      <c r="IO582" s="10"/>
      <c r="IP582" s="10"/>
      <c r="IQ582" s="10"/>
      <c r="IR582" s="10"/>
      <c r="IS582" s="10"/>
      <c r="IT582" s="10"/>
      <c r="IU582" s="10"/>
      <c r="IV582" s="10"/>
      <c r="IW582" s="10"/>
    </row>
    <row r="583" spans="1:257">
      <c r="A583" s="34"/>
      <c r="B583" s="50"/>
      <c r="C583" s="24"/>
      <c r="D583" s="24"/>
      <c r="E583" s="24"/>
      <c r="F583" s="25"/>
      <c r="G583" s="25"/>
      <c r="H583" s="25"/>
      <c r="I583" s="25"/>
      <c r="J583" s="25"/>
      <c r="K583" s="25"/>
      <c r="L583" s="25"/>
      <c r="M583" s="25"/>
      <c r="N583" s="25"/>
      <c r="O583" s="25"/>
      <c r="P583" s="25"/>
      <c r="Q583" s="25"/>
      <c r="R583" s="24"/>
      <c r="S583" s="26">
        <f t="shared" si="37"/>
        <v>0</v>
      </c>
      <c r="T583" s="26">
        <f>COUNTIF($V$4:V583,V583)</f>
        <v>540</v>
      </c>
      <c r="U583" s="26" t="str">
        <f>IF(T583=1,COUNTIF($T$4:T583,1),"")</f>
        <v/>
      </c>
      <c r="V583" s="27" t="str">
        <f t="shared" si="39"/>
        <v/>
      </c>
      <c r="W583" s="27">
        <f t="shared" si="38"/>
        <v>0</v>
      </c>
      <c r="X583" s="28"/>
      <c r="Y583" s="27"/>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0"/>
      <c r="DJ583" s="10"/>
      <c r="DK583" s="10"/>
      <c r="DL583" s="10"/>
      <c r="DM583" s="10"/>
      <c r="DN583" s="10"/>
      <c r="DO583" s="10"/>
      <c r="DP583" s="10"/>
      <c r="DQ583" s="10"/>
      <c r="DR583" s="10"/>
      <c r="DS583" s="10"/>
      <c r="DT583" s="10"/>
      <c r="DU583" s="10"/>
      <c r="DV583" s="10"/>
      <c r="DW583" s="10"/>
      <c r="DX583" s="10"/>
      <c r="DY583" s="10"/>
      <c r="DZ583" s="10"/>
      <c r="EA583" s="10"/>
      <c r="EB583" s="10"/>
      <c r="EC583" s="10"/>
      <c r="ED583" s="10"/>
      <c r="EE583" s="10"/>
      <c r="EF583" s="10"/>
      <c r="EG583" s="10"/>
      <c r="EH583" s="10"/>
      <c r="EI583" s="10"/>
      <c r="EJ583" s="10"/>
      <c r="EK583" s="10"/>
      <c r="EL583" s="10"/>
      <c r="EM583" s="10"/>
      <c r="EN583" s="10"/>
      <c r="EO583" s="10"/>
      <c r="EP583" s="10"/>
      <c r="EQ583" s="10"/>
      <c r="ER583" s="10"/>
      <c r="ES583" s="10"/>
      <c r="ET583" s="10"/>
      <c r="EU583" s="10"/>
      <c r="EV583" s="10"/>
      <c r="EW583" s="10"/>
      <c r="EX583" s="10"/>
      <c r="EY583" s="10"/>
      <c r="EZ583" s="10"/>
      <c r="FA583" s="10"/>
      <c r="FB583" s="10"/>
      <c r="FC583" s="10"/>
      <c r="FD583" s="10"/>
      <c r="FE583" s="10"/>
      <c r="FF583" s="10"/>
      <c r="FG583" s="10"/>
      <c r="FH583" s="10"/>
      <c r="FI583" s="10"/>
      <c r="FJ583" s="10"/>
      <c r="FK583" s="10"/>
      <c r="FL583" s="10"/>
      <c r="FM583" s="10"/>
      <c r="FN583" s="10"/>
      <c r="FO583" s="10"/>
      <c r="FP583" s="10"/>
      <c r="FQ583" s="10"/>
      <c r="FR583" s="10"/>
      <c r="FS583" s="10"/>
      <c r="FT583" s="10"/>
      <c r="FU583" s="10"/>
      <c r="FV583" s="10"/>
      <c r="FW583" s="10"/>
      <c r="FX583" s="10"/>
      <c r="FY583" s="10"/>
      <c r="FZ583" s="10"/>
      <c r="GA583" s="10"/>
      <c r="GB583" s="10"/>
      <c r="GC583" s="10"/>
      <c r="GD583" s="10"/>
      <c r="GE583" s="10"/>
      <c r="GF583" s="10"/>
      <c r="GG583" s="10"/>
      <c r="GH583" s="10"/>
      <c r="GI583" s="10"/>
      <c r="GJ583" s="10"/>
      <c r="GK583" s="10"/>
      <c r="GL583" s="10"/>
      <c r="GM583" s="10"/>
      <c r="GN583" s="10"/>
      <c r="GO583" s="10"/>
      <c r="GP583" s="10"/>
      <c r="GQ583" s="10"/>
      <c r="GR583" s="10"/>
      <c r="GS583" s="10"/>
      <c r="GT583" s="10"/>
      <c r="GU583" s="10"/>
      <c r="GV583" s="10"/>
      <c r="GW583" s="10"/>
      <c r="GX583" s="10"/>
      <c r="GY583" s="10"/>
      <c r="GZ583" s="10"/>
      <c r="HA583" s="10"/>
      <c r="HB583" s="10"/>
      <c r="HC583" s="10"/>
      <c r="HD583" s="10"/>
      <c r="HE583" s="10"/>
      <c r="HF583" s="10"/>
      <c r="HG583" s="10"/>
      <c r="HH583" s="10"/>
      <c r="HI583" s="10"/>
      <c r="HJ583" s="10"/>
      <c r="HK583" s="10"/>
      <c r="HL583" s="10"/>
      <c r="HM583" s="10"/>
      <c r="HN583" s="10"/>
      <c r="HO583" s="10"/>
      <c r="HP583" s="10"/>
      <c r="HQ583" s="10"/>
      <c r="HR583" s="10"/>
      <c r="HS583" s="10"/>
      <c r="HT583" s="10"/>
      <c r="HU583" s="10"/>
      <c r="HV583" s="10"/>
      <c r="HW583" s="10"/>
      <c r="HX583" s="10"/>
      <c r="HY583" s="10"/>
      <c r="HZ583" s="10"/>
      <c r="IA583" s="10"/>
      <c r="IB583" s="10"/>
      <c r="IC583" s="10"/>
      <c r="ID583" s="10"/>
      <c r="IE583" s="10"/>
      <c r="IF583" s="10"/>
      <c r="IG583" s="10"/>
      <c r="IH583" s="10"/>
      <c r="II583" s="10"/>
      <c r="IJ583" s="10"/>
      <c r="IK583" s="10"/>
      <c r="IL583" s="10"/>
      <c r="IM583" s="10"/>
      <c r="IN583" s="10"/>
      <c r="IO583" s="10"/>
      <c r="IP583" s="10"/>
      <c r="IQ583" s="10"/>
      <c r="IR583" s="10"/>
      <c r="IS583" s="10"/>
      <c r="IT583" s="10"/>
      <c r="IU583" s="10"/>
      <c r="IV583" s="10"/>
      <c r="IW583" s="10"/>
    </row>
    <row r="584" spans="1:257">
      <c r="A584" s="34"/>
      <c r="B584" s="50"/>
      <c r="C584" s="24"/>
      <c r="D584" s="24"/>
      <c r="E584" s="24"/>
      <c r="F584" s="25"/>
      <c r="G584" s="25"/>
      <c r="H584" s="25"/>
      <c r="I584" s="25"/>
      <c r="J584" s="25"/>
      <c r="K584" s="25"/>
      <c r="L584" s="25"/>
      <c r="M584" s="25"/>
      <c r="N584" s="25"/>
      <c r="O584" s="25"/>
      <c r="P584" s="25"/>
      <c r="Q584" s="25"/>
      <c r="R584" s="24"/>
      <c r="S584" s="26">
        <f t="shared" si="37"/>
        <v>0</v>
      </c>
      <c r="T584" s="26">
        <f>COUNTIF($V$4:V584,V584)</f>
        <v>541</v>
      </c>
      <c r="U584" s="26" t="str">
        <f>IF(T584=1,COUNTIF($T$4:T584,1),"")</f>
        <v/>
      </c>
      <c r="V584" s="27" t="str">
        <f t="shared" si="39"/>
        <v/>
      </c>
      <c r="W584" s="27">
        <f t="shared" si="38"/>
        <v>0</v>
      </c>
      <c r="X584" s="28"/>
      <c r="Y584" s="27"/>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0"/>
      <c r="DJ584" s="10"/>
      <c r="DK584" s="10"/>
      <c r="DL584" s="10"/>
      <c r="DM584" s="10"/>
      <c r="DN584" s="10"/>
      <c r="DO584" s="10"/>
      <c r="DP584" s="10"/>
      <c r="DQ584" s="10"/>
      <c r="DR584" s="10"/>
      <c r="DS584" s="10"/>
      <c r="DT584" s="10"/>
      <c r="DU584" s="10"/>
      <c r="DV584" s="10"/>
      <c r="DW584" s="10"/>
      <c r="DX584" s="10"/>
      <c r="DY584" s="10"/>
      <c r="DZ584" s="10"/>
      <c r="EA584" s="10"/>
      <c r="EB584" s="10"/>
      <c r="EC584" s="10"/>
      <c r="ED584" s="10"/>
      <c r="EE584" s="10"/>
      <c r="EF584" s="10"/>
      <c r="EG584" s="10"/>
      <c r="EH584" s="10"/>
      <c r="EI584" s="10"/>
      <c r="EJ584" s="10"/>
      <c r="EK584" s="10"/>
      <c r="EL584" s="10"/>
      <c r="EM584" s="10"/>
      <c r="EN584" s="10"/>
      <c r="EO584" s="10"/>
      <c r="EP584" s="10"/>
      <c r="EQ584" s="10"/>
      <c r="ER584" s="10"/>
      <c r="ES584" s="10"/>
      <c r="ET584" s="10"/>
      <c r="EU584" s="10"/>
      <c r="EV584" s="10"/>
      <c r="EW584" s="10"/>
      <c r="EX584" s="10"/>
      <c r="EY584" s="10"/>
      <c r="EZ584" s="10"/>
      <c r="FA584" s="10"/>
      <c r="FB584" s="10"/>
      <c r="FC584" s="10"/>
      <c r="FD584" s="10"/>
      <c r="FE584" s="10"/>
      <c r="FF584" s="10"/>
      <c r="FG584" s="10"/>
      <c r="FH584" s="10"/>
      <c r="FI584" s="10"/>
      <c r="FJ584" s="10"/>
      <c r="FK584" s="10"/>
      <c r="FL584" s="10"/>
      <c r="FM584" s="10"/>
      <c r="FN584" s="10"/>
      <c r="FO584" s="10"/>
      <c r="FP584" s="10"/>
      <c r="FQ584" s="10"/>
      <c r="FR584" s="10"/>
      <c r="FS584" s="10"/>
      <c r="FT584" s="10"/>
      <c r="FU584" s="10"/>
      <c r="FV584" s="10"/>
      <c r="FW584" s="10"/>
      <c r="FX584" s="10"/>
      <c r="FY584" s="10"/>
      <c r="FZ584" s="10"/>
      <c r="GA584" s="10"/>
      <c r="GB584" s="10"/>
      <c r="GC584" s="10"/>
      <c r="GD584" s="10"/>
      <c r="GE584" s="10"/>
      <c r="GF584" s="10"/>
      <c r="GG584" s="10"/>
      <c r="GH584" s="10"/>
      <c r="GI584" s="10"/>
      <c r="GJ584" s="10"/>
      <c r="GK584" s="10"/>
      <c r="GL584" s="10"/>
      <c r="GM584" s="10"/>
      <c r="GN584" s="10"/>
      <c r="GO584" s="10"/>
      <c r="GP584" s="10"/>
      <c r="GQ584" s="10"/>
      <c r="GR584" s="10"/>
      <c r="GS584" s="10"/>
      <c r="GT584" s="10"/>
      <c r="GU584" s="10"/>
      <c r="GV584" s="10"/>
      <c r="GW584" s="10"/>
      <c r="GX584" s="10"/>
      <c r="GY584" s="10"/>
      <c r="GZ584" s="10"/>
      <c r="HA584" s="10"/>
      <c r="HB584" s="10"/>
      <c r="HC584" s="10"/>
      <c r="HD584" s="10"/>
      <c r="HE584" s="10"/>
      <c r="HF584" s="10"/>
      <c r="HG584" s="10"/>
      <c r="HH584" s="10"/>
      <c r="HI584" s="10"/>
      <c r="HJ584" s="10"/>
      <c r="HK584" s="10"/>
      <c r="HL584" s="10"/>
      <c r="HM584" s="10"/>
      <c r="HN584" s="10"/>
      <c r="HO584" s="10"/>
      <c r="HP584" s="10"/>
      <c r="HQ584" s="10"/>
      <c r="HR584" s="10"/>
      <c r="HS584" s="10"/>
      <c r="HT584" s="10"/>
      <c r="HU584" s="10"/>
      <c r="HV584" s="10"/>
      <c r="HW584" s="10"/>
      <c r="HX584" s="10"/>
      <c r="HY584" s="10"/>
      <c r="HZ584" s="10"/>
      <c r="IA584" s="10"/>
      <c r="IB584" s="10"/>
      <c r="IC584" s="10"/>
      <c r="ID584" s="10"/>
      <c r="IE584" s="10"/>
      <c r="IF584" s="10"/>
      <c r="IG584" s="10"/>
      <c r="IH584" s="10"/>
      <c r="II584" s="10"/>
      <c r="IJ584" s="10"/>
      <c r="IK584" s="10"/>
      <c r="IL584" s="10"/>
      <c r="IM584" s="10"/>
      <c r="IN584" s="10"/>
      <c r="IO584" s="10"/>
      <c r="IP584" s="10"/>
      <c r="IQ584" s="10"/>
      <c r="IR584" s="10"/>
      <c r="IS584" s="10"/>
      <c r="IT584" s="10"/>
      <c r="IU584" s="10"/>
      <c r="IV584" s="10"/>
      <c r="IW584" s="10"/>
    </row>
    <row r="585" spans="1:257">
      <c r="A585" s="34"/>
      <c r="B585" s="50"/>
      <c r="C585" s="24"/>
      <c r="D585" s="24"/>
      <c r="E585" s="24"/>
      <c r="F585" s="25"/>
      <c r="G585" s="25"/>
      <c r="H585" s="25"/>
      <c r="I585" s="25"/>
      <c r="J585" s="25"/>
      <c r="K585" s="25"/>
      <c r="L585" s="25"/>
      <c r="M585" s="25"/>
      <c r="N585" s="25"/>
      <c r="O585" s="25"/>
      <c r="P585" s="25"/>
      <c r="Q585" s="25"/>
      <c r="R585" s="24"/>
      <c r="S585" s="26">
        <f t="shared" si="37"/>
        <v>0</v>
      </c>
      <c r="T585" s="26">
        <f>COUNTIF($V$4:V585,V585)</f>
        <v>542</v>
      </c>
      <c r="U585" s="26" t="str">
        <f>IF(T585=1,COUNTIF($T$4:T585,1),"")</f>
        <v/>
      </c>
      <c r="V585" s="27" t="str">
        <f t="shared" si="39"/>
        <v/>
      </c>
      <c r="W585" s="27">
        <f t="shared" si="38"/>
        <v>0</v>
      </c>
      <c r="X585" s="28"/>
      <c r="Y585" s="27"/>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0"/>
      <c r="DJ585" s="10"/>
      <c r="DK585" s="10"/>
      <c r="DL585" s="10"/>
      <c r="DM585" s="10"/>
      <c r="DN585" s="10"/>
      <c r="DO585" s="10"/>
      <c r="DP585" s="10"/>
      <c r="DQ585" s="10"/>
      <c r="DR585" s="10"/>
      <c r="DS585" s="10"/>
      <c r="DT585" s="10"/>
      <c r="DU585" s="10"/>
      <c r="DV585" s="10"/>
      <c r="DW585" s="10"/>
      <c r="DX585" s="10"/>
      <c r="DY585" s="10"/>
      <c r="DZ585" s="10"/>
      <c r="EA585" s="10"/>
      <c r="EB585" s="10"/>
      <c r="EC585" s="10"/>
      <c r="ED585" s="10"/>
      <c r="EE585" s="10"/>
      <c r="EF585" s="10"/>
      <c r="EG585" s="10"/>
      <c r="EH585" s="10"/>
      <c r="EI585" s="10"/>
      <c r="EJ585" s="10"/>
      <c r="EK585" s="10"/>
      <c r="EL585" s="10"/>
      <c r="EM585" s="10"/>
      <c r="EN585" s="10"/>
      <c r="EO585" s="10"/>
      <c r="EP585" s="10"/>
      <c r="EQ585" s="10"/>
      <c r="ER585" s="10"/>
      <c r="ES585" s="10"/>
      <c r="ET585" s="10"/>
      <c r="EU585" s="10"/>
      <c r="EV585" s="10"/>
      <c r="EW585" s="10"/>
      <c r="EX585" s="10"/>
      <c r="EY585" s="10"/>
      <c r="EZ585" s="10"/>
      <c r="FA585" s="10"/>
      <c r="FB585" s="10"/>
      <c r="FC585" s="10"/>
      <c r="FD585" s="10"/>
      <c r="FE585" s="10"/>
      <c r="FF585" s="10"/>
      <c r="FG585" s="10"/>
      <c r="FH585" s="10"/>
      <c r="FI585" s="10"/>
      <c r="FJ585" s="10"/>
      <c r="FK585" s="10"/>
      <c r="FL585" s="10"/>
      <c r="FM585" s="10"/>
      <c r="FN585" s="10"/>
      <c r="FO585" s="10"/>
      <c r="FP585" s="10"/>
      <c r="FQ585" s="10"/>
      <c r="FR585" s="10"/>
      <c r="FS585" s="10"/>
      <c r="FT585" s="10"/>
      <c r="FU585" s="10"/>
      <c r="FV585" s="10"/>
      <c r="FW585" s="10"/>
      <c r="FX585" s="10"/>
      <c r="FY585" s="10"/>
      <c r="FZ585" s="10"/>
      <c r="GA585" s="10"/>
      <c r="GB585" s="10"/>
      <c r="GC585" s="10"/>
      <c r="GD585" s="10"/>
      <c r="GE585" s="10"/>
      <c r="GF585" s="10"/>
      <c r="GG585" s="10"/>
      <c r="GH585" s="10"/>
      <c r="GI585" s="10"/>
      <c r="GJ585" s="10"/>
      <c r="GK585" s="10"/>
      <c r="GL585" s="10"/>
      <c r="GM585" s="10"/>
      <c r="GN585" s="10"/>
      <c r="GO585" s="10"/>
      <c r="GP585" s="10"/>
      <c r="GQ585" s="10"/>
      <c r="GR585" s="10"/>
      <c r="GS585" s="10"/>
      <c r="GT585" s="10"/>
      <c r="GU585" s="10"/>
      <c r="GV585" s="10"/>
      <c r="GW585" s="10"/>
      <c r="GX585" s="10"/>
      <c r="GY585" s="10"/>
      <c r="GZ585" s="10"/>
      <c r="HA585" s="10"/>
      <c r="HB585" s="10"/>
      <c r="HC585" s="10"/>
      <c r="HD585" s="10"/>
      <c r="HE585" s="10"/>
      <c r="HF585" s="10"/>
      <c r="HG585" s="10"/>
      <c r="HH585" s="10"/>
      <c r="HI585" s="10"/>
      <c r="HJ585" s="10"/>
      <c r="HK585" s="10"/>
      <c r="HL585" s="10"/>
      <c r="HM585" s="10"/>
      <c r="HN585" s="10"/>
      <c r="HO585" s="10"/>
      <c r="HP585" s="10"/>
      <c r="HQ585" s="10"/>
      <c r="HR585" s="10"/>
      <c r="HS585" s="10"/>
      <c r="HT585" s="10"/>
      <c r="HU585" s="10"/>
      <c r="HV585" s="10"/>
      <c r="HW585" s="10"/>
      <c r="HX585" s="10"/>
      <c r="HY585" s="10"/>
      <c r="HZ585" s="10"/>
      <c r="IA585" s="10"/>
      <c r="IB585" s="10"/>
      <c r="IC585" s="10"/>
      <c r="ID585" s="10"/>
      <c r="IE585" s="10"/>
      <c r="IF585" s="10"/>
      <c r="IG585" s="10"/>
      <c r="IH585" s="10"/>
      <c r="II585" s="10"/>
      <c r="IJ585" s="10"/>
      <c r="IK585" s="10"/>
      <c r="IL585" s="10"/>
      <c r="IM585" s="10"/>
      <c r="IN585" s="10"/>
      <c r="IO585" s="10"/>
      <c r="IP585" s="10"/>
      <c r="IQ585" s="10"/>
      <c r="IR585" s="10"/>
      <c r="IS585" s="10"/>
      <c r="IT585" s="10"/>
      <c r="IU585" s="10"/>
      <c r="IV585" s="10"/>
      <c r="IW585" s="10"/>
    </row>
    <row r="586" spans="1:257">
      <c r="A586" s="34"/>
      <c r="B586" s="50"/>
      <c r="C586" s="24"/>
      <c r="D586" s="24"/>
      <c r="E586" s="24"/>
      <c r="F586" s="25"/>
      <c r="G586" s="25"/>
      <c r="H586" s="25"/>
      <c r="I586" s="25"/>
      <c r="J586" s="25"/>
      <c r="K586" s="25"/>
      <c r="L586" s="25"/>
      <c r="M586" s="25"/>
      <c r="N586" s="25"/>
      <c r="O586" s="25"/>
      <c r="P586" s="25"/>
      <c r="Q586" s="25"/>
      <c r="R586" s="24"/>
      <c r="S586" s="26">
        <f t="shared" si="37"/>
        <v>0</v>
      </c>
      <c r="T586" s="26">
        <f>COUNTIF($V$4:V586,V586)</f>
        <v>543</v>
      </c>
      <c r="U586" s="26" t="str">
        <f>IF(T586=1,COUNTIF($T$4:T586,1),"")</f>
        <v/>
      </c>
      <c r="V586" s="27" t="str">
        <f t="shared" si="39"/>
        <v/>
      </c>
      <c r="W586" s="27">
        <f t="shared" si="38"/>
        <v>0</v>
      </c>
      <c r="X586" s="28"/>
      <c r="Y586" s="27"/>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0"/>
      <c r="DJ586" s="10"/>
      <c r="DK586" s="10"/>
      <c r="DL586" s="10"/>
      <c r="DM586" s="10"/>
      <c r="DN586" s="10"/>
      <c r="DO586" s="10"/>
      <c r="DP586" s="10"/>
      <c r="DQ586" s="10"/>
      <c r="DR586" s="10"/>
      <c r="DS586" s="10"/>
      <c r="DT586" s="10"/>
      <c r="DU586" s="10"/>
      <c r="DV586" s="10"/>
      <c r="DW586" s="10"/>
      <c r="DX586" s="10"/>
      <c r="DY586" s="10"/>
      <c r="DZ586" s="10"/>
      <c r="EA586" s="10"/>
      <c r="EB586" s="10"/>
      <c r="EC586" s="10"/>
      <c r="ED586" s="10"/>
      <c r="EE586" s="10"/>
      <c r="EF586" s="10"/>
      <c r="EG586" s="10"/>
      <c r="EH586" s="10"/>
      <c r="EI586" s="10"/>
      <c r="EJ586" s="10"/>
      <c r="EK586" s="10"/>
      <c r="EL586" s="10"/>
      <c r="EM586" s="10"/>
      <c r="EN586" s="10"/>
      <c r="EO586" s="10"/>
      <c r="EP586" s="10"/>
      <c r="EQ586" s="10"/>
      <c r="ER586" s="10"/>
      <c r="ES586" s="10"/>
      <c r="ET586" s="10"/>
      <c r="EU586" s="10"/>
      <c r="EV586" s="10"/>
      <c r="EW586" s="10"/>
      <c r="EX586" s="10"/>
      <c r="EY586" s="10"/>
      <c r="EZ586" s="10"/>
      <c r="FA586" s="10"/>
      <c r="FB586" s="10"/>
      <c r="FC586" s="10"/>
      <c r="FD586" s="10"/>
      <c r="FE586" s="10"/>
      <c r="FF586" s="10"/>
      <c r="FG586" s="10"/>
      <c r="FH586" s="10"/>
      <c r="FI586" s="10"/>
      <c r="FJ586" s="10"/>
      <c r="FK586" s="10"/>
      <c r="FL586" s="10"/>
      <c r="FM586" s="10"/>
      <c r="FN586" s="10"/>
      <c r="FO586" s="10"/>
      <c r="FP586" s="10"/>
      <c r="FQ586" s="10"/>
      <c r="FR586" s="10"/>
      <c r="FS586" s="10"/>
      <c r="FT586" s="10"/>
      <c r="FU586" s="10"/>
      <c r="FV586" s="10"/>
      <c r="FW586" s="10"/>
      <c r="FX586" s="10"/>
      <c r="FY586" s="10"/>
      <c r="FZ586" s="10"/>
      <c r="GA586" s="10"/>
      <c r="GB586" s="10"/>
      <c r="GC586" s="10"/>
      <c r="GD586" s="10"/>
      <c r="GE586" s="10"/>
      <c r="GF586" s="10"/>
      <c r="GG586" s="10"/>
      <c r="GH586" s="10"/>
      <c r="GI586" s="10"/>
      <c r="GJ586" s="10"/>
      <c r="GK586" s="10"/>
      <c r="GL586" s="10"/>
      <c r="GM586" s="10"/>
      <c r="GN586" s="10"/>
      <c r="GO586" s="10"/>
      <c r="GP586" s="10"/>
      <c r="GQ586" s="10"/>
      <c r="GR586" s="10"/>
      <c r="GS586" s="10"/>
      <c r="GT586" s="10"/>
      <c r="GU586" s="10"/>
      <c r="GV586" s="10"/>
      <c r="GW586" s="10"/>
      <c r="GX586" s="10"/>
      <c r="GY586" s="10"/>
      <c r="GZ586" s="10"/>
      <c r="HA586" s="10"/>
      <c r="HB586" s="10"/>
      <c r="HC586" s="10"/>
      <c r="HD586" s="10"/>
      <c r="HE586" s="10"/>
      <c r="HF586" s="10"/>
      <c r="HG586" s="10"/>
      <c r="HH586" s="10"/>
      <c r="HI586" s="10"/>
      <c r="HJ586" s="10"/>
      <c r="HK586" s="10"/>
      <c r="HL586" s="10"/>
      <c r="HM586" s="10"/>
      <c r="HN586" s="10"/>
      <c r="HO586" s="10"/>
      <c r="HP586" s="10"/>
      <c r="HQ586" s="10"/>
      <c r="HR586" s="10"/>
      <c r="HS586" s="10"/>
      <c r="HT586" s="10"/>
      <c r="HU586" s="10"/>
      <c r="HV586" s="10"/>
      <c r="HW586" s="10"/>
      <c r="HX586" s="10"/>
      <c r="HY586" s="10"/>
      <c r="HZ586" s="10"/>
      <c r="IA586" s="10"/>
      <c r="IB586" s="10"/>
      <c r="IC586" s="10"/>
      <c r="ID586" s="10"/>
      <c r="IE586" s="10"/>
      <c r="IF586" s="10"/>
      <c r="IG586" s="10"/>
      <c r="IH586" s="10"/>
      <c r="II586" s="10"/>
      <c r="IJ586" s="10"/>
      <c r="IK586" s="10"/>
      <c r="IL586" s="10"/>
      <c r="IM586" s="10"/>
      <c r="IN586" s="10"/>
      <c r="IO586" s="10"/>
      <c r="IP586" s="10"/>
      <c r="IQ586" s="10"/>
      <c r="IR586" s="10"/>
      <c r="IS586" s="10"/>
      <c r="IT586" s="10"/>
      <c r="IU586" s="10"/>
      <c r="IV586" s="10"/>
      <c r="IW586" s="10"/>
    </row>
    <row r="587" spans="1:257">
      <c r="A587" s="34"/>
      <c r="B587" s="50"/>
      <c r="C587" s="24"/>
      <c r="D587" s="24"/>
      <c r="E587" s="24"/>
      <c r="F587" s="25"/>
      <c r="G587" s="25"/>
      <c r="H587" s="25"/>
      <c r="I587" s="25"/>
      <c r="J587" s="25"/>
      <c r="K587" s="25"/>
      <c r="L587" s="25"/>
      <c r="M587" s="25"/>
      <c r="N587" s="25"/>
      <c r="O587" s="25"/>
      <c r="P587" s="25"/>
      <c r="Q587" s="25"/>
      <c r="R587" s="24"/>
      <c r="S587" s="26">
        <f t="shared" si="37"/>
        <v>0</v>
      </c>
      <c r="T587" s="26">
        <f>COUNTIF($V$4:V587,V587)</f>
        <v>544</v>
      </c>
      <c r="U587" s="26" t="str">
        <f>IF(T587=1,COUNTIF($T$4:T587,1),"")</f>
        <v/>
      </c>
      <c r="V587" s="27" t="str">
        <f t="shared" si="39"/>
        <v/>
      </c>
      <c r="W587" s="27">
        <f t="shared" si="38"/>
        <v>0</v>
      </c>
      <c r="X587" s="28"/>
      <c r="Y587" s="27"/>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0"/>
      <c r="DJ587" s="10"/>
      <c r="DK587" s="10"/>
      <c r="DL587" s="10"/>
      <c r="DM587" s="10"/>
      <c r="DN587" s="10"/>
      <c r="DO587" s="10"/>
      <c r="DP587" s="10"/>
      <c r="DQ587" s="10"/>
      <c r="DR587" s="10"/>
      <c r="DS587" s="10"/>
      <c r="DT587" s="10"/>
      <c r="DU587" s="10"/>
      <c r="DV587" s="10"/>
      <c r="DW587" s="10"/>
      <c r="DX587" s="10"/>
      <c r="DY587" s="10"/>
      <c r="DZ587" s="10"/>
      <c r="EA587" s="10"/>
      <c r="EB587" s="10"/>
      <c r="EC587" s="10"/>
      <c r="ED587" s="10"/>
      <c r="EE587" s="10"/>
      <c r="EF587" s="10"/>
      <c r="EG587" s="10"/>
      <c r="EH587" s="10"/>
      <c r="EI587" s="10"/>
      <c r="EJ587" s="10"/>
      <c r="EK587" s="10"/>
      <c r="EL587" s="10"/>
      <c r="EM587" s="10"/>
      <c r="EN587" s="10"/>
      <c r="EO587" s="10"/>
      <c r="EP587" s="10"/>
      <c r="EQ587" s="10"/>
      <c r="ER587" s="10"/>
      <c r="ES587" s="10"/>
      <c r="ET587" s="10"/>
      <c r="EU587" s="10"/>
      <c r="EV587" s="10"/>
      <c r="EW587" s="10"/>
      <c r="EX587" s="10"/>
      <c r="EY587" s="10"/>
      <c r="EZ587" s="10"/>
      <c r="FA587" s="10"/>
      <c r="FB587" s="10"/>
      <c r="FC587" s="10"/>
      <c r="FD587" s="10"/>
      <c r="FE587" s="10"/>
      <c r="FF587" s="10"/>
      <c r="FG587" s="10"/>
      <c r="FH587" s="10"/>
      <c r="FI587" s="10"/>
      <c r="FJ587" s="10"/>
      <c r="FK587" s="10"/>
      <c r="FL587" s="10"/>
      <c r="FM587" s="10"/>
      <c r="FN587" s="10"/>
      <c r="FO587" s="10"/>
      <c r="FP587" s="10"/>
      <c r="FQ587" s="10"/>
      <c r="FR587" s="10"/>
      <c r="FS587" s="10"/>
      <c r="FT587" s="10"/>
      <c r="FU587" s="10"/>
      <c r="FV587" s="10"/>
      <c r="FW587" s="10"/>
      <c r="FX587" s="10"/>
      <c r="FY587" s="10"/>
      <c r="FZ587" s="10"/>
      <c r="GA587" s="10"/>
      <c r="GB587" s="10"/>
      <c r="GC587" s="10"/>
      <c r="GD587" s="10"/>
      <c r="GE587" s="10"/>
      <c r="GF587" s="10"/>
      <c r="GG587" s="10"/>
      <c r="GH587" s="10"/>
      <c r="GI587" s="10"/>
      <c r="GJ587" s="10"/>
      <c r="GK587" s="10"/>
      <c r="GL587" s="10"/>
      <c r="GM587" s="10"/>
      <c r="GN587" s="10"/>
      <c r="GO587" s="10"/>
      <c r="GP587" s="10"/>
      <c r="GQ587" s="10"/>
      <c r="GR587" s="10"/>
      <c r="GS587" s="10"/>
      <c r="GT587" s="10"/>
      <c r="GU587" s="10"/>
      <c r="GV587" s="10"/>
      <c r="GW587" s="10"/>
      <c r="GX587" s="10"/>
      <c r="GY587" s="10"/>
      <c r="GZ587" s="10"/>
      <c r="HA587" s="10"/>
      <c r="HB587" s="10"/>
      <c r="HC587" s="10"/>
      <c r="HD587" s="10"/>
      <c r="HE587" s="10"/>
      <c r="HF587" s="10"/>
      <c r="HG587" s="10"/>
      <c r="HH587" s="10"/>
      <c r="HI587" s="10"/>
      <c r="HJ587" s="10"/>
      <c r="HK587" s="10"/>
      <c r="HL587" s="10"/>
      <c r="HM587" s="10"/>
      <c r="HN587" s="10"/>
      <c r="HO587" s="10"/>
      <c r="HP587" s="10"/>
      <c r="HQ587" s="10"/>
      <c r="HR587" s="10"/>
      <c r="HS587" s="10"/>
      <c r="HT587" s="10"/>
      <c r="HU587" s="10"/>
      <c r="HV587" s="10"/>
      <c r="HW587" s="10"/>
      <c r="HX587" s="10"/>
      <c r="HY587" s="10"/>
      <c r="HZ587" s="10"/>
      <c r="IA587" s="10"/>
      <c r="IB587" s="10"/>
      <c r="IC587" s="10"/>
      <c r="ID587" s="10"/>
      <c r="IE587" s="10"/>
      <c r="IF587" s="10"/>
      <c r="IG587" s="10"/>
      <c r="IH587" s="10"/>
      <c r="II587" s="10"/>
      <c r="IJ587" s="10"/>
      <c r="IK587" s="10"/>
      <c r="IL587" s="10"/>
      <c r="IM587" s="10"/>
      <c r="IN587" s="10"/>
      <c r="IO587" s="10"/>
      <c r="IP587" s="10"/>
      <c r="IQ587" s="10"/>
      <c r="IR587" s="10"/>
      <c r="IS587" s="10"/>
      <c r="IT587" s="10"/>
      <c r="IU587" s="10"/>
      <c r="IV587" s="10"/>
      <c r="IW587" s="10"/>
    </row>
    <row r="588" spans="1:257">
      <c r="A588" s="34"/>
      <c r="B588" s="50"/>
      <c r="C588" s="24"/>
      <c r="D588" s="24"/>
      <c r="E588" s="24"/>
      <c r="F588" s="25"/>
      <c r="G588" s="25"/>
      <c r="H588" s="25"/>
      <c r="I588" s="25"/>
      <c r="J588" s="25"/>
      <c r="K588" s="25"/>
      <c r="L588" s="25"/>
      <c r="M588" s="25"/>
      <c r="N588" s="25"/>
      <c r="O588" s="25"/>
      <c r="P588" s="25"/>
      <c r="Q588" s="25"/>
      <c r="R588" s="24"/>
      <c r="S588" s="26">
        <f t="shared" si="37"/>
        <v>0</v>
      </c>
      <c r="T588" s="26">
        <f>COUNTIF($V$4:V588,V588)</f>
        <v>545</v>
      </c>
      <c r="U588" s="26" t="str">
        <f>IF(T588=1,COUNTIF($T$4:T588,1),"")</f>
        <v/>
      </c>
      <c r="V588" s="27" t="str">
        <f t="shared" si="39"/>
        <v/>
      </c>
      <c r="W588" s="27">
        <f t="shared" si="38"/>
        <v>0</v>
      </c>
      <c r="X588" s="28"/>
      <c r="Y588" s="27"/>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0"/>
      <c r="DJ588" s="10"/>
      <c r="DK588" s="10"/>
      <c r="DL588" s="10"/>
      <c r="DM588" s="10"/>
      <c r="DN588" s="10"/>
      <c r="DO588" s="10"/>
      <c r="DP588" s="10"/>
      <c r="DQ588" s="10"/>
      <c r="DR588" s="10"/>
      <c r="DS588" s="10"/>
      <c r="DT588" s="10"/>
      <c r="DU588" s="10"/>
      <c r="DV588" s="10"/>
      <c r="DW588" s="10"/>
      <c r="DX588" s="10"/>
      <c r="DY588" s="10"/>
      <c r="DZ588" s="10"/>
      <c r="EA588" s="10"/>
      <c r="EB588" s="10"/>
      <c r="EC588" s="10"/>
      <c r="ED588" s="10"/>
      <c r="EE588" s="10"/>
      <c r="EF588" s="10"/>
      <c r="EG588" s="10"/>
      <c r="EH588" s="10"/>
      <c r="EI588" s="10"/>
      <c r="EJ588" s="10"/>
      <c r="EK588" s="10"/>
      <c r="EL588" s="10"/>
      <c r="EM588" s="10"/>
      <c r="EN588" s="10"/>
      <c r="EO588" s="10"/>
      <c r="EP588" s="10"/>
      <c r="EQ588" s="10"/>
      <c r="ER588" s="10"/>
      <c r="ES588" s="10"/>
      <c r="ET588" s="10"/>
      <c r="EU588" s="10"/>
      <c r="EV588" s="10"/>
      <c r="EW588" s="10"/>
      <c r="EX588" s="10"/>
      <c r="EY588" s="10"/>
      <c r="EZ588" s="10"/>
      <c r="FA588" s="10"/>
      <c r="FB588" s="10"/>
      <c r="FC588" s="10"/>
      <c r="FD588" s="10"/>
      <c r="FE588" s="10"/>
      <c r="FF588" s="10"/>
      <c r="FG588" s="10"/>
      <c r="FH588" s="10"/>
      <c r="FI588" s="10"/>
      <c r="FJ588" s="10"/>
      <c r="FK588" s="10"/>
      <c r="FL588" s="10"/>
      <c r="FM588" s="10"/>
      <c r="FN588" s="10"/>
      <c r="FO588" s="10"/>
      <c r="FP588" s="10"/>
      <c r="FQ588" s="10"/>
      <c r="FR588" s="10"/>
      <c r="FS588" s="10"/>
      <c r="FT588" s="10"/>
      <c r="FU588" s="10"/>
      <c r="FV588" s="10"/>
      <c r="FW588" s="10"/>
      <c r="FX588" s="10"/>
      <c r="FY588" s="10"/>
      <c r="FZ588" s="10"/>
      <c r="GA588" s="10"/>
      <c r="GB588" s="10"/>
      <c r="GC588" s="10"/>
      <c r="GD588" s="10"/>
      <c r="GE588" s="10"/>
      <c r="GF588" s="10"/>
      <c r="GG588" s="10"/>
      <c r="GH588" s="10"/>
      <c r="GI588" s="10"/>
      <c r="GJ588" s="10"/>
      <c r="GK588" s="10"/>
      <c r="GL588" s="10"/>
      <c r="GM588" s="10"/>
      <c r="GN588" s="10"/>
      <c r="GO588" s="10"/>
      <c r="GP588" s="10"/>
      <c r="GQ588" s="10"/>
      <c r="GR588" s="10"/>
      <c r="GS588" s="10"/>
      <c r="GT588" s="10"/>
      <c r="GU588" s="10"/>
      <c r="GV588" s="10"/>
      <c r="GW588" s="10"/>
      <c r="GX588" s="10"/>
      <c r="GY588" s="10"/>
      <c r="GZ588" s="10"/>
      <c r="HA588" s="10"/>
      <c r="HB588" s="10"/>
      <c r="HC588" s="10"/>
      <c r="HD588" s="10"/>
      <c r="HE588" s="10"/>
      <c r="HF588" s="10"/>
      <c r="HG588" s="10"/>
      <c r="HH588" s="10"/>
      <c r="HI588" s="10"/>
      <c r="HJ588" s="10"/>
      <c r="HK588" s="10"/>
      <c r="HL588" s="10"/>
      <c r="HM588" s="10"/>
      <c r="HN588" s="10"/>
      <c r="HO588" s="10"/>
      <c r="HP588" s="10"/>
      <c r="HQ588" s="10"/>
      <c r="HR588" s="10"/>
      <c r="HS588" s="10"/>
      <c r="HT588" s="10"/>
      <c r="HU588" s="10"/>
      <c r="HV588" s="10"/>
      <c r="HW588" s="10"/>
      <c r="HX588" s="10"/>
      <c r="HY588" s="10"/>
      <c r="HZ588" s="10"/>
      <c r="IA588" s="10"/>
      <c r="IB588" s="10"/>
      <c r="IC588" s="10"/>
      <c r="ID588" s="10"/>
      <c r="IE588" s="10"/>
      <c r="IF588" s="10"/>
      <c r="IG588" s="10"/>
      <c r="IH588" s="10"/>
      <c r="II588" s="10"/>
      <c r="IJ588" s="10"/>
      <c r="IK588" s="10"/>
      <c r="IL588" s="10"/>
      <c r="IM588" s="10"/>
      <c r="IN588" s="10"/>
      <c r="IO588" s="10"/>
      <c r="IP588" s="10"/>
      <c r="IQ588" s="10"/>
      <c r="IR588" s="10"/>
      <c r="IS588" s="10"/>
      <c r="IT588" s="10"/>
      <c r="IU588" s="10"/>
      <c r="IV588" s="10"/>
      <c r="IW588" s="10"/>
    </row>
    <row r="589" spans="1:257">
      <c r="A589" s="34"/>
      <c r="B589" s="50"/>
      <c r="C589" s="24"/>
      <c r="D589" s="24"/>
      <c r="E589" s="24"/>
      <c r="F589" s="25"/>
      <c r="G589" s="25"/>
      <c r="H589" s="25"/>
      <c r="I589" s="25"/>
      <c r="J589" s="25"/>
      <c r="K589" s="25"/>
      <c r="L589" s="25"/>
      <c r="M589" s="25"/>
      <c r="N589" s="25"/>
      <c r="O589" s="25"/>
      <c r="P589" s="25"/>
      <c r="Q589" s="25"/>
      <c r="R589" s="24"/>
      <c r="S589" s="26">
        <f t="shared" si="37"/>
        <v>0</v>
      </c>
      <c r="T589" s="26">
        <f>COUNTIF($V$4:V589,V589)</f>
        <v>546</v>
      </c>
      <c r="U589" s="26" t="str">
        <f>IF(T589=1,COUNTIF($T$4:T589,1),"")</f>
        <v/>
      </c>
      <c r="V589" s="27" t="str">
        <f t="shared" si="39"/>
        <v/>
      </c>
      <c r="W589" s="27">
        <f t="shared" si="38"/>
        <v>0</v>
      </c>
      <c r="X589" s="28"/>
      <c r="Y589" s="27"/>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0"/>
      <c r="DJ589" s="10"/>
      <c r="DK589" s="10"/>
      <c r="DL589" s="10"/>
      <c r="DM589" s="10"/>
      <c r="DN589" s="10"/>
      <c r="DO589" s="10"/>
      <c r="DP589" s="10"/>
      <c r="DQ589" s="10"/>
      <c r="DR589" s="10"/>
      <c r="DS589" s="10"/>
      <c r="DT589" s="10"/>
      <c r="DU589" s="10"/>
      <c r="DV589" s="10"/>
      <c r="DW589" s="10"/>
      <c r="DX589" s="10"/>
      <c r="DY589" s="10"/>
      <c r="DZ589" s="10"/>
      <c r="EA589" s="10"/>
      <c r="EB589" s="10"/>
      <c r="EC589" s="10"/>
      <c r="ED589" s="10"/>
      <c r="EE589" s="10"/>
      <c r="EF589" s="10"/>
      <c r="EG589" s="10"/>
      <c r="EH589" s="10"/>
      <c r="EI589" s="10"/>
      <c r="EJ589" s="10"/>
      <c r="EK589" s="10"/>
      <c r="EL589" s="10"/>
      <c r="EM589" s="10"/>
      <c r="EN589" s="10"/>
      <c r="EO589" s="10"/>
      <c r="EP589" s="10"/>
      <c r="EQ589" s="10"/>
      <c r="ER589" s="10"/>
      <c r="ES589" s="10"/>
      <c r="ET589" s="10"/>
      <c r="EU589" s="10"/>
      <c r="EV589" s="10"/>
      <c r="EW589" s="10"/>
      <c r="EX589" s="10"/>
      <c r="EY589" s="10"/>
      <c r="EZ589" s="10"/>
      <c r="FA589" s="10"/>
      <c r="FB589" s="10"/>
      <c r="FC589" s="10"/>
      <c r="FD589" s="10"/>
      <c r="FE589" s="10"/>
      <c r="FF589" s="10"/>
      <c r="FG589" s="10"/>
      <c r="FH589" s="10"/>
      <c r="FI589" s="10"/>
      <c r="FJ589" s="10"/>
      <c r="FK589" s="10"/>
      <c r="FL589" s="10"/>
      <c r="FM589" s="10"/>
      <c r="FN589" s="10"/>
      <c r="FO589" s="10"/>
      <c r="FP589" s="10"/>
      <c r="FQ589" s="10"/>
      <c r="FR589" s="10"/>
      <c r="FS589" s="10"/>
      <c r="FT589" s="10"/>
      <c r="FU589" s="10"/>
      <c r="FV589" s="10"/>
      <c r="FW589" s="10"/>
      <c r="FX589" s="10"/>
      <c r="FY589" s="10"/>
      <c r="FZ589" s="10"/>
      <c r="GA589" s="10"/>
      <c r="GB589" s="10"/>
      <c r="GC589" s="10"/>
      <c r="GD589" s="10"/>
      <c r="GE589" s="10"/>
      <c r="GF589" s="10"/>
      <c r="GG589" s="10"/>
      <c r="GH589" s="10"/>
      <c r="GI589" s="10"/>
      <c r="GJ589" s="10"/>
      <c r="GK589" s="10"/>
      <c r="GL589" s="10"/>
      <c r="GM589" s="10"/>
      <c r="GN589" s="10"/>
      <c r="GO589" s="10"/>
      <c r="GP589" s="10"/>
      <c r="GQ589" s="10"/>
      <c r="GR589" s="10"/>
      <c r="GS589" s="10"/>
      <c r="GT589" s="10"/>
      <c r="GU589" s="10"/>
      <c r="GV589" s="10"/>
      <c r="GW589" s="10"/>
      <c r="GX589" s="10"/>
      <c r="GY589" s="10"/>
      <c r="GZ589" s="10"/>
      <c r="HA589" s="10"/>
      <c r="HB589" s="10"/>
      <c r="HC589" s="10"/>
      <c r="HD589" s="10"/>
      <c r="HE589" s="10"/>
      <c r="HF589" s="10"/>
      <c r="HG589" s="10"/>
      <c r="HH589" s="10"/>
      <c r="HI589" s="10"/>
      <c r="HJ589" s="10"/>
      <c r="HK589" s="10"/>
      <c r="HL589" s="10"/>
      <c r="HM589" s="10"/>
      <c r="HN589" s="10"/>
      <c r="HO589" s="10"/>
      <c r="HP589" s="10"/>
      <c r="HQ589" s="10"/>
      <c r="HR589" s="10"/>
      <c r="HS589" s="10"/>
      <c r="HT589" s="10"/>
      <c r="HU589" s="10"/>
      <c r="HV589" s="10"/>
      <c r="HW589" s="10"/>
      <c r="HX589" s="10"/>
      <c r="HY589" s="10"/>
      <c r="HZ589" s="10"/>
      <c r="IA589" s="10"/>
      <c r="IB589" s="10"/>
      <c r="IC589" s="10"/>
      <c r="ID589" s="10"/>
      <c r="IE589" s="10"/>
      <c r="IF589" s="10"/>
      <c r="IG589" s="10"/>
      <c r="IH589" s="10"/>
      <c r="II589" s="10"/>
      <c r="IJ589" s="10"/>
      <c r="IK589" s="10"/>
      <c r="IL589" s="10"/>
      <c r="IM589" s="10"/>
      <c r="IN589" s="10"/>
      <c r="IO589" s="10"/>
      <c r="IP589" s="10"/>
      <c r="IQ589" s="10"/>
      <c r="IR589" s="10"/>
      <c r="IS589" s="10"/>
      <c r="IT589" s="10"/>
      <c r="IU589" s="10"/>
      <c r="IV589" s="10"/>
      <c r="IW589" s="10"/>
    </row>
    <row r="590" spans="1:257">
      <c r="A590" s="34"/>
      <c r="B590" s="50"/>
      <c r="C590" s="24"/>
      <c r="D590" s="24"/>
      <c r="E590" s="24"/>
      <c r="F590" s="25"/>
      <c r="G590" s="25"/>
      <c r="H590" s="25"/>
      <c r="I590" s="25"/>
      <c r="J590" s="25"/>
      <c r="K590" s="25"/>
      <c r="L590" s="25"/>
      <c r="M590" s="25"/>
      <c r="N590" s="25"/>
      <c r="O590" s="25"/>
      <c r="P590" s="25"/>
      <c r="Q590" s="25"/>
      <c r="R590" s="24"/>
      <c r="S590" s="26">
        <f t="shared" si="37"/>
        <v>0</v>
      </c>
      <c r="T590" s="26">
        <f>COUNTIF($V$4:V590,V590)</f>
        <v>547</v>
      </c>
      <c r="U590" s="26" t="str">
        <f>IF(T590=1,COUNTIF($T$4:T590,1),"")</f>
        <v/>
      </c>
      <c r="V590" s="27" t="str">
        <f t="shared" si="39"/>
        <v/>
      </c>
      <c r="W590" s="27">
        <f t="shared" si="38"/>
        <v>0</v>
      </c>
      <c r="X590" s="28"/>
      <c r="Y590" s="27"/>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0"/>
      <c r="DJ590" s="10"/>
      <c r="DK590" s="10"/>
      <c r="DL590" s="10"/>
      <c r="DM590" s="10"/>
      <c r="DN590" s="10"/>
      <c r="DO590" s="10"/>
      <c r="DP590" s="10"/>
      <c r="DQ590" s="10"/>
      <c r="DR590" s="10"/>
      <c r="DS590" s="10"/>
      <c r="DT590" s="10"/>
      <c r="DU590" s="10"/>
      <c r="DV590" s="10"/>
      <c r="DW590" s="10"/>
      <c r="DX590" s="10"/>
      <c r="DY590" s="10"/>
      <c r="DZ590" s="10"/>
      <c r="EA590" s="10"/>
      <c r="EB590" s="10"/>
      <c r="EC590" s="10"/>
      <c r="ED590" s="10"/>
      <c r="EE590" s="10"/>
      <c r="EF590" s="10"/>
      <c r="EG590" s="10"/>
      <c r="EH590" s="10"/>
      <c r="EI590" s="10"/>
      <c r="EJ590" s="10"/>
      <c r="EK590" s="10"/>
      <c r="EL590" s="10"/>
      <c r="EM590" s="10"/>
      <c r="EN590" s="10"/>
      <c r="EO590" s="10"/>
      <c r="EP590" s="10"/>
      <c r="EQ590" s="10"/>
      <c r="ER590" s="10"/>
      <c r="ES590" s="10"/>
      <c r="ET590" s="10"/>
      <c r="EU590" s="10"/>
      <c r="EV590" s="10"/>
      <c r="EW590" s="10"/>
      <c r="EX590" s="10"/>
      <c r="EY590" s="10"/>
      <c r="EZ590" s="10"/>
      <c r="FA590" s="10"/>
      <c r="FB590" s="10"/>
      <c r="FC590" s="10"/>
      <c r="FD590" s="10"/>
      <c r="FE590" s="10"/>
      <c r="FF590" s="10"/>
      <c r="FG590" s="10"/>
      <c r="FH590" s="10"/>
      <c r="FI590" s="10"/>
      <c r="FJ590" s="10"/>
      <c r="FK590" s="10"/>
      <c r="FL590" s="10"/>
      <c r="FM590" s="10"/>
      <c r="FN590" s="10"/>
      <c r="FO590" s="10"/>
      <c r="FP590" s="10"/>
      <c r="FQ590" s="10"/>
      <c r="FR590" s="10"/>
      <c r="FS590" s="10"/>
      <c r="FT590" s="10"/>
      <c r="FU590" s="10"/>
      <c r="FV590" s="10"/>
      <c r="FW590" s="10"/>
      <c r="FX590" s="10"/>
      <c r="FY590" s="10"/>
      <c r="FZ590" s="10"/>
      <c r="GA590" s="10"/>
      <c r="GB590" s="10"/>
      <c r="GC590" s="10"/>
      <c r="GD590" s="10"/>
      <c r="GE590" s="10"/>
      <c r="GF590" s="10"/>
      <c r="GG590" s="10"/>
      <c r="GH590" s="10"/>
      <c r="GI590" s="10"/>
      <c r="GJ590" s="10"/>
      <c r="GK590" s="10"/>
      <c r="GL590" s="10"/>
      <c r="GM590" s="10"/>
      <c r="GN590" s="10"/>
      <c r="GO590" s="10"/>
      <c r="GP590" s="10"/>
      <c r="GQ590" s="10"/>
      <c r="GR590" s="10"/>
      <c r="GS590" s="10"/>
      <c r="GT590" s="10"/>
      <c r="GU590" s="10"/>
      <c r="GV590" s="10"/>
      <c r="GW590" s="10"/>
      <c r="GX590" s="10"/>
      <c r="GY590" s="10"/>
      <c r="GZ590" s="10"/>
      <c r="HA590" s="10"/>
      <c r="HB590" s="10"/>
      <c r="HC590" s="10"/>
      <c r="HD590" s="10"/>
      <c r="HE590" s="10"/>
      <c r="HF590" s="10"/>
      <c r="HG590" s="10"/>
      <c r="HH590" s="10"/>
      <c r="HI590" s="10"/>
      <c r="HJ590" s="10"/>
      <c r="HK590" s="10"/>
      <c r="HL590" s="10"/>
      <c r="HM590" s="10"/>
      <c r="HN590" s="10"/>
      <c r="HO590" s="10"/>
      <c r="HP590" s="10"/>
      <c r="HQ590" s="10"/>
      <c r="HR590" s="10"/>
      <c r="HS590" s="10"/>
      <c r="HT590" s="10"/>
      <c r="HU590" s="10"/>
      <c r="HV590" s="10"/>
      <c r="HW590" s="10"/>
      <c r="HX590" s="10"/>
      <c r="HY590" s="10"/>
      <c r="HZ590" s="10"/>
      <c r="IA590" s="10"/>
      <c r="IB590" s="10"/>
      <c r="IC590" s="10"/>
      <c r="ID590" s="10"/>
      <c r="IE590" s="10"/>
      <c r="IF590" s="10"/>
      <c r="IG590" s="10"/>
      <c r="IH590" s="10"/>
      <c r="II590" s="10"/>
      <c r="IJ590" s="10"/>
      <c r="IK590" s="10"/>
      <c r="IL590" s="10"/>
      <c r="IM590" s="10"/>
      <c r="IN590" s="10"/>
      <c r="IO590" s="10"/>
      <c r="IP590" s="10"/>
      <c r="IQ590" s="10"/>
      <c r="IR590" s="10"/>
      <c r="IS590" s="10"/>
      <c r="IT590" s="10"/>
      <c r="IU590" s="10"/>
      <c r="IV590" s="10"/>
      <c r="IW590" s="10"/>
    </row>
    <row r="591" spans="1:257">
      <c r="A591" s="34"/>
      <c r="B591" s="50"/>
      <c r="C591" s="24"/>
      <c r="D591" s="24"/>
      <c r="E591" s="24"/>
      <c r="F591" s="25"/>
      <c r="G591" s="25"/>
      <c r="H591" s="25"/>
      <c r="I591" s="25"/>
      <c r="J591" s="25"/>
      <c r="K591" s="25"/>
      <c r="L591" s="25"/>
      <c r="M591" s="25"/>
      <c r="N591" s="25"/>
      <c r="O591" s="25"/>
      <c r="P591" s="25"/>
      <c r="Q591" s="25"/>
      <c r="R591" s="24"/>
      <c r="S591" s="26">
        <f t="shared" si="37"/>
        <v>0</v>
      </c>
      <c r="T591" s="26">
        <f>COUNTIF($V$4:V591,V591)</f>
        <v>548</v>
      </c>
      <c r="U591" s="26" t="str">
        <f>IF(T591=1,COUNTIF($T$4:T591,1),"")</f>
        <v/>
      </c>
      <c r="V591" s="27" t="str">
        <f t="shared" si="39"/>
        <v/>
      </c>
      <c r="W591" s="27">
        <f t="shared" si="38"/>
        <v>0</v>
      </c>
      <c r="X591" s="28"/>
      <c r="Y591" s="27"/>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0"/>
      <c r="DJ591" s="10"/>
      <c r="DK591" s="10"/>
      <c r="DL591" s="10"/>
      <c r="DM591" s="10"/>
      <c r="DN591" s="10"/>
      <c r="DO591" s="10"/>
      <c r="DP591" s="10"/>
      <c r="DQ591" s="10"/>
      <c r="DR591" s="10"/>
      <c r="DS591" s="10"/>
      <c r="DT591" s="10"/>
      <c r="DU591" s="10"/>
      <c r="DV591" s="10"/>
      <c r="DW591" s="10"/>
      <c r="DX591" s="10"/>
      <c r="DY591" s="10"/>
      <c r="DZ591" s="10"/>
      <c r="EA591" s="10"/>
      <c r="EB591" s="10"/>
      <c r="EC591" s="10"/>
      <c r="ED591" s="10"/>
      <c r="EE591" s="10"/>
      <c r="EF591" s="10"/>
      <c r="EG591" s="10"/>
      <c r="EH591" s="10"/>
      <c r="EI591" s="10"/>
      <c r="EJ591" s="10"/>
      <c r="EK591" s="10"/>
      <c r="EL591" s="10"/>
      <c r="EM591" s="10"/>
      <c r="EN591" s="10"/>
      <c r="EO591" s="10"/>
      <c r="EP591" s="10"/>
      <c r="EQ591" s="10"/>
      <c r="ER591" s="10"/>
      <c r="ES591" s="10"/>
      <c r="ET591" s="10"/>
      <c r="EU591" s="10"/>
      <c r="EV591" s="10"/>
      <c r="EW591" s="10"/>
      <c r="EX591" s="10"/>
      <c r="EY591" s="10"/>
      <c r="EZ591" s="10"/>
      <c r="FA591" s="10"/>
      <c r="FB591" s="10"/>
      <c r="FC591" s="10"/>
      <c r="FD591" s="10"/>
      <c r="FE591" s="10"/>
      <c r="FF591" s="10"/>
      <c r="FG591" s="10"/>
      <c r="FH591" s="10"/>
      <c r="FI591" s="10"/>
      <c r="FJ591" s="10"/>
      <c r="FK591" s="10"/>
      <c r="FL591" s="10"/>
      <c r="FM591" s="10"/>
      <c r="FN591" s="10"/>
      <c r="FO591" s="10"/>
      <c r="FP591" s="10"/>
      <c r="FQ591" s="10"/>
      <c r="FR591" s="10"/>
      <c r="FS591" s="10"/>
      <c r="FT591" s="10"/>
      <c r="FU591" s="10"/>
      <c r="FV591" s="10"/>
      <c r="FW591" s="10"/>
      <c r="FX591" s="10"/>
      <c r="FY591" s="10"/>
      <c r="FZ591" s="10"/>
      <c r="GA591" s="10"/>
      <c r="GB591" s="10"/>
      <c r="GC591" s="10"/>
      <c r="GD591" s="10"/>
      <c r="GE591" s="10"/>
      <c r="GF591" s="10"/>
      <c r="GG591" s="10"/>
      <c r="GH591" s="10"/>
      <c r="GI591" s="10"/>
      <c r="GJ591" s="10"/>
      <c r="GK591" s="10"/>
      <c r="GL591" s="10"/>
      <c r="GM591" s="10"/>
      <c r="GN591" s="10"/>
      <c r="GO591" s="10"/>
      <c r="GP591" s="10"/>
      <c r="GQ591" s="10"/>
      <c r="GR591" s="10"/>
      <c r="GS591" s="10"/>
      <c r="GT591" s="10"/>
      <c r="GU591" s="10"/>
      <c r="GV591" s="10"/>
      <c r="GW591" s="10"/>
      <c r="GX591" s="10"/>
      <c r="GY591" s="10"/>
      <c r="GZ591" s="10"/>
      <c r="HA591" s="10"/>
      <c r="HB591" s="10"/>
      <c r="HC591" s="10"/>
      <c r="HD591" s="10"/>
      <c r="HE591" s="10"/>
      <c r="HF591" s="10"/>
      <c r="HG591" s="10"/>
      <c r="HH591" s="10"/>
      <c r="HI591" s="10"/>
      <c r="HJ591" s="10"/>
      <c r="HK591" s="10"/>
      <c r="HL591" s="10"/>
      <c r="HM591" s="10"/>
      <c r="HN591" s="10"/>
      <c r="HO591" s="10"/>
      <c r="HP591" s="10"/>
      <c r="HQ591" s="10"/>
      <c r="HR591" s="10"/>
      <c r="HS591" s="10"/>
      <c r="HT591" s="10"/>
      <c r="HU591" s="10"/>
      <c r="HV591" s="10"/>
      <c r="HW591" s="10"/>
      <c r="HX591" s="10"/>
      <c r="HY591" s="10"/>
      <c r="HZ591" s="10"/>
      <c r="IA591" s="10"/>
      <c r="IB591" s="10"/>
      <c r="IC591" s="10"/>
      <c r="ID591" s="10"/>
      <c r="IE591" s="10"/>
      <c r="IF591" s="10"/>
      <c r="IG591" s="10"/>
      <c r="IH591" s="10"/>
      <c r="II591" s="10"/>
      <c r="IJ591" s="10"/>
      <c r="IK591" s="10"/>
      <c r="IL591" s="10"/>
      <c r="IM591" s="10"/>
      <c r="IN591" s="10"/>
      <c r="IO591" s="10"/>
      <c r="IP591" s="10"/>
      <c r="IQ591" s="10"/>
      <c r="IR591" s="10"/>
      <c r="IS591" s="10"/>
      <c r="IT591" s="10"/>
      <c r="IU591" s="10"/>
      <c r="IV591" s="10"/>
      <c r="IW591" s="10"/>
    </row>
    <row r="592" spans="1:257">
      <c r="A592" s="34"/>
      <c r="B592" s="50"/>
      <c r="C592" s="24"/>
      <c r="D592" s="24"/>
      <c r="E592" s="24"/>
      <c r="F592" s="25"/>
      <c r="G592" s="25"/>
      <c r="H592" s="25"/>
      <c r="I592" s="25"/>
      <c r="J592" s="25"/>
      <c r="K592" s="25"/>
      <c r="L592" s="25"/>
      <c r="M592" s="25"/>
      <c r="N592" s="25"/>
      <c r="O592" s="25"/>
      <c r="P592" s="25"/>
      <c r="Q592" s="25"/>
      <c r="R592" s="24"/>
      <c r="S592" s="26">
        <f t="shared" si="37"/>
        <v>0</v>
      </c>
      <c r="T592" s="26">
        <f>COUNTIF($V$4:V592,V592)</f>
        <v>549</v>
      </c>
      <c r="U592" s="26" t="str">
        <f>IF(T592=1,COUNTIF($T$4:T592,1),"")</f>
        <v/>
      </c>
      <c r="V592" s="27" t="str">
        <f t="shared" si="39"/>
        <v/>
      </c>
      <c r="W592" s="27">
        <f t="shared" si="38"/>
        <v>0</v>
      </c>
      <c r="X592" s="28"/>
      <c r="Y592" s="27"/>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0"/>
      <c r="DJ592" s="10"/>
      <c r="DK592" s="10"/>
      <c r="DL592" s="10"/>
      <c r="DM592" s="10"/>
      <c r="DN592" s="10"/>
      <c r="DO592" s="10"/>
      <c r="DP592" s="10"/>
      <c r="DQ592" s="10"/>
      <c r="DR592" s="10"/>
      <c r="DS592" s="10"/>
      <c r="DT592" s="10"/>
      <c r="DU592" s="10"/>
      <c r="DV592" s="10"/>
      <c r="DW592" s="10"/>
      <c r="DX592" s="10"/>
      <c r="DY592" s="10"/>
      <c r="DZ592" s="10"/>
      <c r="EA592" s="10"/>
      <c r="EB592" s="10"/>
      <c r="EC592" s="10"/>
      <c r="ED592" s="10"/>
      <c r="EE592" s="10"/>
      <c r="EF592" s="10"/>
      <c r="EG592" s="10"/>
      <c r="EH592" s="10"/>
      <c r="EI592" s="10"/>
      <c r="EJ592" s="10"/>
      <c r="EK592" s="10"/>
      <c r="EL592" s="10"/>
      <c r="EM592" s="10"/>
      <c r="EN592" s="10"/>
      <c r="EO592" s="10"/>
      <c r="EP592" s="10"/>
      <c r="EQ592" s="10"/>
      <c r="ER592" s="10"/>
      <c r="ES592" s="10"/>
      <c r="ET592" s="10"/>
      <c r="EU592" s="10"/>
      <c r="EV592" s="10"/>
      <c r="EW592" s="10"/>
      <c r="EX592" s="10"/>
      <c r="EY592" s="10"/>
      <c r="EZ592" s="10"/>
      <c r="FA592" s="10"/>
      <c r="FB592" s="10"/>
      <c r="FC592" s="10"/>
      <c r="FD592" s="10"/>
      <c r="FE592" s="10"/>
      <c r="FF592" s="10"/>
      <c r="FG592" s="10"/>
      <c r="FH592" s="10"/>
      <c r="FI592" s="10"/>
      <c r="FJ592" s="10"/>
      <c r="FK592" s="10"/>
      <c r="FL592" s="10"/>
      <c r="FM592" s="10"/>
      <c r="FN592" s="10"/>
      <c r="FO592" s="10"/>
      <c r="FP592" s="10"/>
      <c r="FQ592" s="10"/>
      <c r="FR592" s="10"/>
      <c r="FS592" s="10"/>
      <c r="FT592" s="10"/>
      <c r="FU592" s="10"/>
      <c r="FV592" s="10"/>
      <c r="FW592" s="10"/>
      <c r="FX592" s="10"/>
      <c r="FY592" s="10"/>
      <c r="FZ592" s="10"/>
      <c r="GA592" s="10"/>
      <c r="GB592" s="10"/>
      <c r="GC592" s="10"/>
      <c r="GD592" s="10"/>
      <c r="GE592" s="10"/>
      <c r="GF592" s="10"/>
      <c r="GG592" s="10"/>
      <c r="GH592" s="10"/>
      <c r="GI592" s="10"/>
      <c r="GJ592" s="10"/>
      <c r="GK592" s="10"/>
      <c r="GL592" s="10"/>
      <c r="GM592" s="10"/>
      <c r="GN592" s="10"/>
      <c r="GO592" s="10"/>
      <c r="GP592" s="10"/>
      <c r="GQ592" s="10"/>
      <c r="GR592" s="10"/>
      <c r="GS592" s="10"/>
      <c r="GT592" s="10"/>
      <c r="GU592" s="10"/>
      <c r="GV592" s="10"/>
      <c r="GW592" s="10"/>
      <c r="GX592" s="10"/>
      <c r="GY592" s="10"/>
      <c r="GZ592" s="10"/>
      <c r="HA592" s="10"/>
      <c r="HB592" s="10"/>
      <c r="HC592" s="10"/>
      <c r="HD592" s="10"/>
      <c r="HE592" s="10"/>
      <c r="HF592" s="10"/>
      <c r="HG592" s="10"/>
      <c r="HH592" s="10"/>
      <c r="HI592" s="10"/>
      <c r="HJ592" s="10"/>
      <c r="HK592" s="10"/>
      <c r="HL592" s="10"/>
      <c r="HM592" s="10"/>
      <c r="HN592" s="10"/>
      <c r="HO592" s="10"/>
      <c r="HP592" s="10"/>
      <c r="HQ592" s="10"/>
      <c r="HR592" s="10"/>
      <c r="HS592" s="10"/>
      <c r="HT592" s="10"/>
      <c r="HU592" s="10"/>
      <c r="HV592" s="10"/>
      <c r="HW592" s="10"/>
      <c r="HX592" s="10"/>
      <c r="HY592" s="10"/>
      <c r="HZ592" s="10"/>
      <c r="IA592" s="10"/>
      <c r="IB592" s="10"/>
      <c r="IC592" s="10"/>
      <c r="ID592" s="10"/>
      <c r="IE592" s="10"/>
      <c r="IF592" s="10"/>
      <c r="IG592" s="10"/>
      <c r="IH592" s="10"/>
      <c r="II592" s="10"/>
      <c r="IJ592" s="10"/>
      <c r="IK592" s="10"/>
      <c r="IL592" s="10"/>
      <c r="IM592" s="10"/>
      <c r="IN592" s="10"/>
      <c r="IO592" s="10"/>
      <c r="IP592" s="10"/>
      <c r="IQ592" s="10"/>
      <c r="IR592" s="10"/>
      <c r="IS592" s="10"/>
      <c r="IT592" s="10"/>
      <c r="IU592" s="10"/>
      <c r="IV592" s="10"/>
      <c r="IW592" s="10"/>
    </row>
    <row r="593" spans="1:257">
      <c r="A593" s="34"/>
      <c r="B593" s="50"/>
      <c r="C593" s="24"/>
      <c r="D593" s="24"/>
      <c r="E593" s="24"/>
      <c r="F593" s="25"/>
      <c r="G593" s="25"/>
      <c r="H593" s="25"/>
      <c r="I593" s="25"/>
      <c r="J593" s="25"/>
      <c r="K593" s="25"/>
      <c r="L593" s="25"/>
      <c r="M593" s="25"/>
      <c r="N593" s="25"/>
      <c r="O593" s="25"/>
      <c r="P593" s="25"/>
      <c r="Q593" s="25"/>
      <c r="R593" s="24"/>
      <c r="S593" s="26">
        <f t="shared" si="37"/>
        <v>0</v>
      </c>
      <c r="T593" s="26">
        <f>COUNTIF($V$4:V593,V593)</f>
        <v>550</v>
      </c>
      <c r="U593" s="26" t="str">
        <f>IF(T593=1,COUNTIF($T$4:T593,1),"")</f>
        <v/>
      </c>
      <c r="V593" s="27" t="str">
        <f t="shared" si="39"/>
        <v/>
      </c>
      <c r="W593" s="27">
        <f t="shared" si="38"/>
        <v>0</v>
      </c>
      <c r="X593" s="28"/>
      <c r="Y593" s="27"/>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0"/>
      <c r="DJ593" s="10"/>
      <c r="DK593" s="10"/>
      <c r="DL593" s="10"/>
      <c r="DM593" s="10"/>
      <c r="DN593" s="10"/>
      <c r="DO593" s="10"/>
      <c r="DP593" s="10"/>
      <c r="DQ593" s="10"/>
      <c r="DR593" s="10"/>
      <c r="DS593" s="10"/>
      <c r="DT593" s="10"/>
      <c r="DU593" s="10"/>
      <c r="DV593" s="10"/>
      <c r="DW593" s="10"/>
      <c r="DX593" s="10"/>
      <c r="DY593" s="10"/>
      <c r="DZ593" s="10"/>
      <c r="EA593" s="10"/>
      <c r="EB593" s="10"/>
      <c r="EC593" s="10"/>
      <c r="ED593" s="10"/>
      <c r="EE593" s="10"/>
      <c r="EF593" s="10"/>
      <c r="EG593" s="10"/>
      <c r="EH593" s="10"/>
      <c r="EI593" s="10"/>
      <c r="EJ593" s="10"/>
      <c r="EK593" s="10"/>
      <c r="EL593" s="10"/>
      <c r="EM593" s="10"/>
      <c r="EN593" s="10"/>
      <c r="EO593" s="10"/>
      <c r="EP593" s="10"/>
      <c r="EQ593" s="10"/>
      <c r="ER593" s="10"/>
      <c r="ES593" s="10"/>
      <c r="ET593" s="10"/>
      <c r="EU593" s="10"/>
      <c r="EV593" s="10"/>
      <c r="EW593" s="10"/>
      <c r="EX593" s="10"/>
      <c r="EY593" s="10"/>
      <c r="EZ593" s="10"/>
      <c r="FA593" s="10"/>
      <c r="FB593" s="10"/>
      <c r="FC593" s="10"/>
      <c r="FD593" s="10"/>
      <c r="FE593" s="10"/>
      <c r="FF593" s="10"/>
      <c r="FG593" s="10"/>
      <c r="FH593" s="10"/>
      <c r="FI593" s="10"/>
      <c r="FJ593" s="10"/>
      <c r="FK593" s="10"/>
      <c r="FL593" s="10"/>
      <c r="FM593" s="10"/>
      <c r="FN593" s="10"/>
      <c r="FO593" s="10"/>
      <c r="FP593" s="10"/>
      <c r="FQ593" s="10"/>
      <c r="FR593" s="10"/>
      <c r="FS593" s="10"/>
      <c r="FT593" s="10"/>
      <c r="FU593" s="10"/>
      <c r="FV593" s="10"/>
      <c r="FW593" s="10"/>
      <c r="FX593" s="10"/>
      <c r="FY593" s="10"/>
      <c r="FZ593" s="10"/>
      <c r="GA593" s="10"/>
      <c r="GB593" s="10"/>
      <c r="GC593" s="10"/>
      <c r="GD593" s="10"/>
      <c r="GE593" s="10"/>
      <c r="GF593" s="10"/>
      <c r="GG593" s="10"/>
      <c r="GH593" s="10"/>
      <c r="GI593" s="10"/>
      <c r="GJ593" s="10"/>
      <c r="GK593" s="10"/>
      <c r="GL593" s="10"/>
      <c r="GM593" s="10"/>
      <c r="GN593" s="10"/>
      <c r="GO593" s="10"/>
      <c r="GP593" s="10"/>
      <c r="GQ593" s="10"/>
      <c r="GR593" s="10"/>
      <c r="GS593" s="10"/>
      <c r="GT593" s="10"/>
      <c r="GU593" s="10"/>
      <c r="GV593" s="10"/>
      <c r="GW593" s="10"/>
      <c r="GX593" s="10"/>
      <c r="GY593" s="10"/>
      <c r="GZ593" s="10"/>
      <c r="HA593" s="10"/>
      <c r="HB593" s="10"/>
      <c r="HC593" s="10"/>
      <c r="HD593" s="10"/>
      <c r="HE593" s="10"/>
      <c r="HF593" s="10"/>
      <c r="HG593" s="10"/>
      <c r="HH593" s="10"/>
      <c r="HI593" s="10"/>
      <c r="HJ593" s="10"/>
      <c r="HK593" s="10"/>
      <c r="HL593" s="10"/>
      <c r="HM593" s="10"/>
      <c r="HN593" s="10"/>
      <c r="HO593" s="10"/>
      <c r="HP593" s="10"/>
      <c r="HQ593" s="10"/>
      <c r="HR593" s="10"/>
      <c r="HS593" s="10"/>
      <c r="HT593" s="10"/>
      <c r="HU593" s="10"/>
      <c r="HV593" s="10"/>
      <c r="HW593" s="10"/>
      <c r="HX593" s="10"/>
      <c r="HY593" s="10"/>
      <c r="HZ593" s="10"/>
      <c r="IA593" s="10"/>
      <c r="IB593" s="10"/>
      <c r="IC593" s="10"/>
      <c r="ID593" s="10"/>
      <c r="IE593" s="10"/>
      <c r="IF593" s="10"/>
      <c r="IG593" s="10"/>
      <c r="IH593" s="10"/>
      <c r="II593" s="10"/>
      <c r="IJ593" s="10"/>
      <c r="IK593" s="10"/>
      <c r="IL593" s="10"/>
      <c r="IM593" s="10"/>
      <c r="IN593" s="10"/>
      <c r="IO593" s="10"/>
      <c r="IP593" s="10"/>
      <c r="IQ593" s="10"/>
      <c r="IR593" s="10"/>
      <c r="IS593" s="10"/>
      <c r="IT593" s="10"/>
      <c r="IU593" s="10"/>
      <c r="IV593" s="10"/>
      <c r="IW593" s="10"/>
    </row>
    <row r="594" spans="1:257">
      <c r="A594" s="34"/>
      <c r="B594" s="50"/>
      <c r="C594" s="24"/>
      <c r="D594" s="24"/>
      <c r="E594" s="24"/>
      <c r="F594" s="25"/>
      <c r="G594" s="25"/>
      <c r="H594" s="25"/>
      <c r="I594" s="25"/>
      <c r="J594" s="25"/>
      <c r="K594" s="25"/>
      <c r="L594" s="25"/>
      <c r="M594" s="25"/>
      <c r="N594" s="25"/>
      <c r="O594" s="25"/>
      <c r="P594" s="25"/>
      <c r="Q594" s="25"/>
      <c r="R594" s="24"/>
      <c r="S594" s="26">
        <f t="shared" si="37"/>
        <v>0</v>
      </c>
      <c r="T594" s="26">
        <f>COUNTIF($V$4:V594,V594)</f>
        <v>551</v>
      </c>
      <c r="U594" s="26" t="str">
        <f>IF(T594=1,COUNTIF($T$4:T594,1),"")</f>
        <v/>
      </c>
      <c r="V594" s="27" t="str">
        <f t="shared" si="39"/>
        <v/>
      </c>
      <c r="W594" s="27">
        <f t="shared" si="38"/>
        <v>0</v>
      </c>
      <c r="X594" s="28"/>
      <c r="Y594" s="27"/>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0"/>
      <c r="DJ594" s="10"/>
      <c r="DK594" s="10"/>
      <c r="DL594" s="10"/>
      <c r="DM594" s="10"/>
      <c r="DN594" s="10"/>
      <c r="DO594" s="10"/>
      <c r="DP594" s="10"/>
      <c r="DQ594" s="10"/>
      <c r="DR594" s="10"/>
      <c r="DS594" s="10"/>
      <c r="DT594" s="10"/>
      <c r="DU594" s="10"/>
      <c r="DV594" s="10"/>
      <c r="DW594" s="10"/>
      <c r="DX594" s="10"/>
      <c r="DY594" s="10"/>
      <c r="DZ594" s="10"/>
      <c r="EA594" s="10"/>
      <c r="EB594" s="10"/>
      <c r="EC594" s="10"/>
      <c r="ED594" s="10"/>
      <c r="EE594" s="10"/>
      <c r="EF594" s="10"/>
      <c r="EG594" s="10"/>
      <c r="EH594" s="10"/>
      <c r="EI594" s="10"/>
      <c r="EJ594" s="10"/>
      <c r="EK594" s="10"/>
      <c r="EL594" s="10"/>
      <c r="EM594" s="10"/>
      <c r="EN594" s="10"/>
      <c r="EO594" s="10"/>
      <c r="EP594" s="10"/>
      <c r="EQ594" s="10"/>
      <c r="ER594" s="10"/>
      <c r="ES594" s="10"/>
      <c r="ET594" s="10"/>
      <c r="EU594" s="10"/>
      <c r="EV594" s="10"/>
      <c r="EW594" s="10"/>
      <c r="EX594" s="10"/>
      <c r="EY594" s="10"/>
      <c r="EZ594" s="10"/>
      <c r="FA594" s="10"/>
      <c r="FB594" s="10"/>
      <c r="FC594" s="10"/>
      <c r="FD594" s="10"/>
      <c r="FE594" s="10"/>
      <c r="FF594" s="10"/>
      <c r="FG594" s="10"/>
      <c r="FH594" s="10"/>
      <c r="FI594" s="10"/>
      <c r="FJ594" s="10"/>
      <c r="FK594" s="10"/>
      <c r="FL594" s="10"/>
      <c r="FM594" s="10"/>
      <c r="FN594" s="10"/>
      <c r="FO594" s="10"/>
      <c r="FP594" s="10"/>
      <c r="FQ594" s="10"/>
      <c r="FR594" s="10"/>
      <c r="FS594" s="10"/>
      <c r="FT594" s="10"/>
      <c r="FU594" s="10"/>
      <c r="FV594" s="10"/>
      <c r="FW594" s="10"/>
      <c r="FX594" s="10"/>
      <c r="FY594" s="10"/>
      <c r="FZ594" s="10"/>
      <c r="GA594" s="10"/>
      <c r="GB594" s="10"/>
      <c r="GC594" s="10"/>
      <c r="GD594" s="10"/>
      <c r="GE594" s="10"/>
      <c r="GF594" s="10"/>
      <c r="GG594" s="10"/>
      <c r="GH594" s="10"/>
      <c r="GI594" s="10"/>
      <c r="GJ594" s="10"/>
      <c r="GK594" s="10"/>
      <c r="GL594" s="10"/>
      <c r="GM594" s="10"/>
      <c r="GN594" s="10"/>
      <c r="GO594" s="10"/>
      <c r="GP594" s="10"/>
      <c r="GQ594" s="10"/>
      <c r="GR594" s="10"/>
      <c r="GS594" s="10"/>
      <c r="GT594" s="10"/>
      <c r="GU594" s="10"/>
      <c r="GV594" s="10"/>
      <c r="GW594" s="10"/>
      <c r="GX594" s="10"/>
      <c r="GY594" s="10"/>
      <c r="GZ594" s="10"/>
      <c r="HA594" s="10"/>
      <c r="HB594" s="10"/>
      <c r="HC594" s="10"/>
      <c r="HD594" s="10"/>
      <c r="HE594" s="10"/>
      <c r="HF594" s="10"/>
      <c r="HG594" s="10"/>
      <c r="HH594" s="10"/>
      <c r="HI594" s="10"/>
      <c r="HJ594" s="10"/>
      <c r="HK594" s="10"/>
      <c r="HL594" s="10"/>
      <c r="HM594" s="10"/>
      <c r="HN594" s="10"/>
      <c r="HO594" s="10"/>
      <c r="HP594" s="10"/>
      <c r="HQ594" s="10"/>
      <c r="HR594" s="10"/>
      <c r="HS594" s="10"/>
      <c r="HT594" s="10"/>
      <c r="HU594" s="10"/>
      <c r="HV594" s="10"/>
      <c r="HW594" s="10"/>
      <c r="HX594" s="10"/>
      <c r="HY594" s="10"/>
      <c r="HZ594" s="10"/>
      <c r="IA594" s="10"/>
      <c r="IB594" s="10"/>
      <c r="IC594" s="10"/>
      <c r="ID594" s="10"/>
      <c r="IE594" s="10"/>
      <c r="IF594" s="10"/>
      <c r="IG594" s="10"/>
      <c r="IH594" s="10"/>
      <c r="II594" s="10"/>
      <c r="IJ594" s="10"/>
      <c r="IK594" s="10"/>
      <c r="IL594" s="10"/>
      <c r="IM594" s="10"/>
      <c r="IN594" s="10"/>
      <c r="IO594" s="10"/>
      <c r="IP594" s="10"/>
      <c r="IQ594" s="10"/>
      <c r="IR594" s="10"/>
      <c r="IS594" s="10"/>
      <c r="IT594" s="10"/>
      <c r="IU594" s="10"/>
      <c r="IV594" s="10"/>
      <c r="IW594" s="10"/>
    </row>
    <row r="595" spans="1:257">
      <c r="A595" s="34"/>
      <c r="B595" s="50"/>
      <c r="C595" s="24"/>
      <c r="D595" s="24"/>
      <c r="E595" s="24"/>
      <c r="F595" s="25"/>
      <c r="G595" s="25"/>
      <c r="H595" s="25"/>
      <c r="I595" s="25"/>
      <c r="J595" s="25"/>
      <c r="K595" s="25"/>
      <c r="L595" s="25"/>
      <c r="M595" s="25"/>
      <c r="N595" s="25"/>
      <c r="O595" s="25"/>
      <c r="P595" s="25"/>
      <c r="Q595" s="25"/>
      <c r="R595" s="24"/>
      <c r="S595" s="26">
        <f t="shared" si="37"/>
        <v>0</v>
      </c>
      <c r="T595" s="26">
        <f>COUNTIF($V$4:V595,V595)</f>
        <v>552</v>
      </c>
      <c r="U595" s="26" t="str">
        <f>IF(T595=1,COUNTIF($T$4:T595,1),"")</f>
        <v/>
      </c>
      <c r="V595" s="27" t="str">
        <f t="shared" si="39"/>
        <v/>
      </c>
      <c r="W595" s="27">
        <f t="shared" si="38"/>
        <v>0</v>
      </c>
      <c r="X595" s="28"/>
      <c r="Y595" s="27"/>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0"/>
      <c r="DJ595" s="10"/>
      <c r="DK595" s="10"/>
      <c r="DL595" s="10"/>
      <c r="DM595" s="10"/>
      <c r="DN595" s="10"/>
      <c r="DO595" s="10"/>
      <c r="DP595" s="10"/>
      <c r="DQ595" s="10"/>
      <c r="DR595" s="10"/>
      <c r="DS595" s="10"/>
      <c r="DT595" s="10"/>
      <c r="DU595" s="10"/>
      <c r="DV595" s="10"/>
      <c r="DW595" s="10"/>
      <c r="DX595" s="10"/>
      <c r="DY595" s="10"/>
      <c r="DZ595" s="10"/>
      <c r="EA595" s="10"/>
      <c r="EB595" s="10"/>
      <c r="EC595" s="10"/>
      <c r="ED595" s="10"/>
      <c r="EE595" s="10"/>
      <c r="EF595" s="10"/>
      <c r="EG595" s="10"/>
      <c r="EH595" s="10"/>
      <c r="EI595" s="10"/>
      <c r="EJ595" s="10"/>
      <c r="EK595" s="10"/>
      <c r="EL595" s="10"/>
      <c r="EM595" s="10"/>
      <c r="EN595" s="10"/>
      <c r="EO595" s="10"/>
      <c r="EP595" s="10"/>
      <c r="EQ595" s="10"/>
      <c r="ER595" s="10"/>
      <c r="ES595" s="10"/>
      <c r="ET595" s="10"/>
      <c r="EU595" s="10"/>
      <c r="EV595" s="10"/>
      <c r="EW595" s="10"/>
      <c r="EX595" s="10"/>
      <c r="EY595" s="10"/>
      <c r="EZ595" s="10"/>
      <c r="FA595" s="10"/>
      <c r="FB595" s="10"/>
      <c r="FC595" s="10"/>
      <c r="FD595" s="10"/>
      <c r="FE595" s="10"/>
      <c r="FF595" s="10"/>
      <c r="FG595" s="10"/>
      <c r="FH595" s="10"/>
      <c r="FI595" s="10"/>
      <c r="FJ595" s="10"/>
      <c r="FK595" s="10"/>
      <c r="FL595" s="10"/>
      <c r="FM595" s="10"/>
      <c r="FN595" s="10"/>
      <c r="FO595" s="10"/>
      <c r="FP595" s="10"/>
      <c r="FQ595" s="10"/>
      <c r="FR595" s="10"/>
      <c r="FS595" s="10"/>
      <c r="FT595" s="10"/>
      <c r="FU595" s="10"/>
      <c r="FV595" s="10"/>
      <c r="FW595" s="10"/>
      <c r="FX595" s="10"/>
      <c r="FY595" s="10"/>
      <c r="FZ595" s="10"/>
      <c r="GA595" s="10"/>
      <c r="GB595" s="10"/>
      <c r="GC595" s="10"/>
      <c r="GD595" s="10"/>
      <c r="GE595" s="10"/>
      <c r="GF595" s="10"/>
      <c r="GG595" s="10"/>
      <c r="GH595" s="10"/>
      <c r="GI595" s="10"/>
      <c r="GJ595" s="10"/>
      <c r="GK595" s="10"/>
      <c r="GL595" s="10"/>
      <c r="GM595" s="10"/>
      <c r="GN595" s="10"/>
      <c r="GO595" s="10"/>
      <c r="GP595" s="10"/>
      <c r="GQ595" s="10"/>
      <c r="GR595" s="10"/>
      <c r="GS595" s="10"/>
      <c r="GT595" s="10"/>
      <c r="GU595" s="10"/>
      <c r="GV595" s="10"/>
      <c r="GW595" s="10"/>
      <c r="GX595" s="10"/>
      <c r="GY595" s="10"/>
      <c r="GZ595" s="10"/>
      <c r="HA595" s="10"/>
      <c r="HB595" s="10"/>
      <c r="HC595" s="10"/>
      <c r="HD595" s="10"/>
      <c r="HE595" s="10"/>
      <c r="HF595" s="10"/>
      <c r="HG595" s="10"/>
      <c r="HH595" s="10"/>
      <c r="HI595" s="10"/>
      <c r="HJ595" s="10"/>
      <c r="HK595" s="10"/>
      <c r="HL595" s="10"/>
      <c r="HM595" s="10"/>
      <c r="HN595" s="10"/>
      <c r="HO595" s="10"/>
      <c r="HP595" s="10"/>
      <c r="HQ595" s="10"/>
      <c r="HR595" s="10"/>
      <c r="HS595" s="10"/>
      <c r="HT595" s="10"/>
      <c r="HU595" s="10"/>
      <c r="HV595" s="10"/>
      <c r="HW595" s="10"/>
      <c r="HX595" s="10"/>
      <c r="HY595" s="10"/>
      <c r="HZ595" s="10"/>
      <c r="IA595" s="10"/>
      <c r="IB595" s="10"/>
      <c r="IC595" s="10"/>
      <c r="ID595" s="10"/>
      <c r="IE595" s="10"/>
      <c r="IF595" s="10"/>
      <c r="IG595" s="10"/>
      <c r="IH595" s="10"/>
      <c r="II595" s="10"/>
      <c r="IJ595" s="10"/>
      <c r="IK595" s="10"/>
      <c r="IL595" s="10"/>
      <c r="IM595" s="10"/>
      <c r="IN595" s="10"/>
      <c r="IO595" s="10"/>
      <c r="IP595" s="10"/>
      <c r="IQ595" s="10"/>
      <c r="IR595" s="10"/>
      <c r="IS595" s="10"/>
      <c r="IT595" s="10"/>
      <c r="IU595" s="10"/>
      <c r="IV595" s="10"/>
      <c r="IW595" s="10"/>
    </row>
    <row r="596" spans="1:257">
      <c r="A596" s="34"/>
      <c r="B596" s="50"/>
      <c r="C596" s="24"/>
      <c r="D596" s="24"/>
      <c r="E596" s="24"/>
      <c r="F596" s="25"/>
      <c r="G596" s="25"/>
      <c r="H596" s="25"/>
      <c r="I596" s="25"/>
      <c r="J596" s="25"/>
      <c r="K596" s="25"/>
      <c r="L596" s="25"/>
      <c r="M596" s="25"/>
      <c r="N596" s="25"/>
      <c r="O596" s="25"/>
      <c r="P596" s="25"/>
      <c r="Q596" s="25"/>
      <c r="R596" s="24"/>
      <c r="S596" s="26">
        <f t="shared" si="37"/>
        <v>0</v>
      </c>
      <c r="T596" s="26">
        <f>COUNTIF($V$4:V596,V596)</f>
        <v>553</v>
      </c>
      <c r="U596" s="26" t="str">
        <f>IF(T596=1,COUNTIF($T$4:T596,1),"")</f>
        <v/>
      </c>
      <c r="V596" s="27" t="str">
        <f t="shared" si="39"/>
        <v/>
      </c>
      <c r="W596" s="27">
        <f t="shared" si="38"/>
        <v>0</v>
      </c>
      <c r="X596" s="28"/>
      <c r="Y596" s="27"/>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0"/>
      <c r="DJ596" s="10"/>
      <c r="DK596" s="10"/>
      <c r="DL596" s="10"/>
      <c r="DM596" s="10"/>
      <c r="DN596" s="10"/>
      <c r="DO596" s="10"/>
      <c r="DP596" s="10"/>
      <c r="DQ596" s="10"/>
      <c r="DR596" s="10"/>
      <c r="DS596" s="10"/>
      <c r="DT596" s="10"/>
      <c r="DU596" s="10"/>
      <c r="DV596" s="10"/>
      <c r="DW596" s="10"/>
      <c r="DX596" s="10"/>
      <c r="DY596" s="10"/>
      <c r="DZ596" s="10"/>
      <c r="EA596" s="10"/>
      <c r="EB596" s="10"/>
      <c r="EC596" s="10"/>
      <c r="ED596" s="10"/>
      <c r="EE596" s="10"/>
      <c r="EF596" s="10"/>
      <c r="EG596" s="10"/>
      <c r="EH596" s="10"/>
      <c r="EI596" s="10"/>
      <c r="EJ596" s="10"/>
      <c r="EK596" s="10"/>
      <c r="EL596" s="10"/>
      <c r="EM596" s="10"/>
      <c r="EN596" s="10"/>
      <c r="EO596" s="10"/>
      <c r="EP596" s="10"/>
      <c r="EQ596" s="10"/>
      <c r="ER596" s="10"/>
      <c r="ES596" s="10"/>
      <c r="ET596" s="10"/>
      <c r="EU596" s="10"/>
      <c r="EV596" s="10"/>
      <c r="EW596" s="10"/>
      <c r="EX596" s="10"/>
      <c r="EY596" s="10"/>
      <c r="EZ596" s="10"/>
      <c r="FA596" s="10"/>
      <c r="FB596" s="10"/>
      <c r="FC596" s="10"/>
      <c r="FD596" s="10"/>
      <c r="FE596" s="10"/>
      <c r="FF596" s="10"/>
      <c r="FG596" s="10"/>
      <c r="FH596" s="10"/>
      <c r="FI596" s="10"/>
      <c r="FJ596" s="10"/>
      <c r="FK596" s="10"/>
      <c r="FL596" s="10"/>
      <c r="FM596" s="10"/>
      <c r="FN596" s="10"/>
      <c r="FO596" s="10"/>
      <c r="FP596" s="10"/>
      <c r="FQ596" s="10"/>
      <c r="FR596" s="10"/>
      <c r="FS596" s="10"/>
      <c r="FT596" s="10"/>
      <c r="FU596" s="10"/>
      <c r="FV596" s="10"/>
      <c r="FW596" s="10"/>
      <c r="FX596" s="10"/>
      <c r="FY596" s="10"/>
      <c r="FZ596" s="10"/>
      <c r="GA596" s="10"/>
      <c r="GB596" s="10"/>
      <c r="GC596" s="10"/>
      <c r="GD596" s="10"/>
      <c r="GE596" s="10"/>
      <c r="GF596" s="10"/>
      <c r="GG596" s="10"/>
      <c r="GH596" s="10"/>
      <c r="GI596" s="10"/>
      <c r="GJ596" s="10"/>
      <c r="GK596" s="10"/>
      <c r="GL596" s="10"/>
      <c r="GM596" s="10"/>
      <c r="GN596" s="10"/>
      <c r="GO596" s="10"/>
      <c r="GP596" s="10"/>
      <c r="GQ596" s="10"/>
      <c r="GR596" s="10"/>
      <c r="GS596" s="10"/>
      <c r="GT596" s="10"/>
      <c r="GU596" s="10"/>
      <c r="GV596" s="10"/>
      <c r="GW596" s="10"/>
      <c r="GX596" s="10"/>
      <c r="GY596" s="10"/>
      <c r="GZ596" s="10"/>
      <c r="HA596" s="10"/>
      <c r="HB596" s="10"/>
      <c r="HC596" s="10"/>
      <c r="HD596" s="10"/>
      <c r="HE596" s="10"/>
      <c r="HF596" s="10"/>
      <c r="HG596" s="10"/>
      <c r="HH596" s="10"/>
      <c r="HI596" s="10"/>
      <c r="HJ596" s="10"/>
      <c r="HK596" s="10"/>
      <c r="HL596" s="10"/>
      <c r="HM596" s="10"/>
      <c r="HN596" s="10"/>
      <c r="HO596" s="10"/>
      <c r="HP596" s="10"/>
      <c r="HQ596" s="10"/>
      <c r="HR596" s="10"/>
      <c r="HS596" s="10"/>
      <c r="HT596" s="10"/>
      <c r="HU596" s="10"/>
      <c r="HV596" s="10"/>
      <c r="HW596" s="10"/>
      <c r="HX596" s="10"/>
      <c r="HY596" s="10"/>
      <c r="HZ596" s="10"/>
      <c r="IA596" s="10"/>
      <c r="IB596" s="10"/>
      <c r="IC596" s="10"/>
      <c r="ID596" s="10"/>
      <c r="IE596" s="10"/>
      <c r="IF596" s="10"/>
      <c r="IG596" s="10"/>
      <c r="IH596" s="10"/>
      <c r="II596" s="10"/>
      <c r="IJ596" s="10"/>
      <c r="IK596" s="10"/>
      <c r="IL596" s="10"/>
      <c r="IM596" s="10"/>
      <c r="IN596" s="10"/>
      <c r="IO596" s="10"/>
      <c r="IP596" s="10"/>
      <c r="IQ596" s="10"/>
      <c r="IR596" s="10"/>
      <c r="IS596" s="10"/>
      <c r="IT596" s="10"/>
      <c r="IU596" s="10"/>
      <c r="IV596" s="10"/>
      <c r="IW596" s="10"/>
    </row>
    <row r="597" spans="1:257">
      <c r="A597" s="34"/>
      <c r="B597" s="50"/>
      <c r="C597" s="24"/>
      <c r="D597" s="24"/>
      <c r="E597" s="24"/>
      <c r="F597" s="25"/>
      <c r="G597" s="25"/>
      <c r="H597" s="25"/>
      <c r="I597" s="25"/>
      <c r="J597" s="25"/>
      <c r="K597" s="25"/>
      <c r="L597" s="25"/>
      <c r="M597" s="25"/>
      <c r="N597" s="25"/>
      <c r="O597" s="25"/>
      <c r="P597" s="25"/>
      <c r="Q597" s="25"/>
      <c r="R597" s="24"/>
      <c r="S597" s="26">
        <f t="shared" si="37"/>
        <v>0</v>
      </c>
      <c r="T597" s="26">
        <f>COUNTIF($V$4:V597,V597)</f>
        <v>554</v>
      </c>
      <c r="U597" s="26" t="str">
        <f>IF(T597=1,COUNTIF($T$4:T597,1),"")</f>
        <v/>
      </c>
      <c r="V597" s="27" t="str">
        <f t="shared" si="39"/>
        <v/>
      </c>
      <c r="W597" s="27">
        <f t="shared" si="38"/>
        <v>0</v>
      </c>
      <c r="X597" s="28"/>
      <c r="Y597" s="27"/>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10"/>
      <c r="DJ597" s="10"/>
      <c r="DK597" s="10"/>
      <c r="DL597" s="10"/>
      <c r="DM597" s="10"/>
      <c r="DN597" s="10"/>
      <c r="DO597" s="10"/>
      <c r="DP597" s="10"/>
      <c r="DQ597" s="10"/>
      <c r="DR597" s="10"/>
      <c r="DS597" s="10"/>
      <c r="DT597" s="10"/>
      <c r="DU597" s="10"/>
      <c r="DV597" s="10"/>
      <c r="DW597" s="10"/>
      <c r="DX597" s="10"/>
      <c r="DY597" s="10"/>
      <c r="DZ597" s="10"/>
      <c r="EA597" s="10"/>
      <c r="EB597" s="10"/>
      <c r="EC597" s="10"/>
      <c r="ED597" s="10"/>
      <c r="EE597" s="10"/>
      <c r="EF597" s="10"/>
      <c r="EG597" s="10"/>
      <c r="EH597" s="10"/>
      <c r="EI597" s="10"/>
      <c r="EJ597" s="10"/>
      <c r="EK597" s="10"/>
      <c r="EL597" s="10"/>
      <c r="EM597" s="10"/>
      <c r="EN597" s="10"/>
      <c r="EO597" s="10"/>
      <c r="EP597" s="10"/>
      <c r="EQ597" s="10"/>
      <c r="ER597" s="10"/>
      <c r="ES597" s="10"/>
      <c r="ET597" s="10"/>
      <c r="EU597" s="10"/>
      <c r="EV597" s="10"/>
      <c r="EW597" s="10"/>
      <c r="EX597" s="10"/>
      <c r="EY597" s="10"/>
      <c r="EZ597" s="10"/>
      <c r="FA597" s="10"/>
      <c r="FB597" s="10"/>
      <c r="FC597" s="10"/>
      <c r="FD597" s="10"/>
      <c r="FE597" s="10"/>
      <c r="FF597" s="10"/>
      <c r="FG597" s="10"/>
      <c r="FH597" s="10"/>
      <c r="FI597" s="10"/>
      <c r="FJ597" s="10"/>
      <c r="FK597" s="10"/>
      <c r="FL597" s="10"/>
      <c r="FM597" s="10"/>
      <c r="FN597" s="10"/>
      <c r="FO597" s="10"/>
      <c r="FP597" s="10"/>
      <c r="FQ597" s="10"/>
      <c r="FR597" s="10"/>
      <c r="FS597" s="10"/>
      <c r="FT597" s="10"/>
      <c r="FU597" s="10"/>
      <c r="FV597" s="10"/>
      <c r="FW597" s="10"/>
      <c r="FX597" s="10"/>
      <c r="FY597" s="10"/>
      <c r="FZ597" s="10"/>
      <c r="GA597" s="10"/>
      <c r="GB597" s="10"/>
      <c r="GC597" s="10"/>
      <c r="GD597" s="10"/>
      <c r="GE597" s="10"/>
      <c r="GF597" s="10"/>
      <c r="GG597" s="10"/>
      <c r="GH597" s="10"/>
      <c r="GI597" s="10"/>
      <c r="GJ597" s="10"/>
      <c r="GK597" s="10"/>
      <c r="GL597" s="10"/>
      <c r="GM597" s="10"/>
      <c r="GN597" s="10"/>
      <c r="GO597" s="10"/>
      <c r="GP597" s="10"/>
      <c r="GQ597" s="10"/>
      <c r="GR597" s="10"/>
      <c r="GS597" s="10"/>
      <c r="GT597" s="10"/>
      <c r="GU597" s="10"/>
      <c r="GV597" s="10"/>
      <c r="GW597" s="10"/>
      <c r="GX597" s="10"/>
      <c r="GY597" s="10"/>
      <c r="GZ597" s="10"/>
      <c r="HA597" s="10"/>
      <c r="HB597" s="10"/>
      <c r="HC597" s="10"/>
      <c r="HD597" s="10"/>
      <c r="HE597" s="10"/>
      <c r="HF597" s="10"/>
      <c r="HG597" s="10"/>
      <c r="HH597" s="10"/>
      <c r="HI597" s="10"/>
      <c r="HJ597" s="10"/>
      <c r="HK597" s="10"/>
      <c r="HL597" s="10"/>
      <c r="HM597" s="10"/>
      <c r="HN597" s="10"/>
      <c r="HO597" s="10"/>
      <c r="HP597" s="10"/>
      <c r="HQ597" s="10"/>
      <c r="HR597" s="10"/>
      <c r="HS597" s="10"/>
      <c r="HT597" s="10"/>
      <c r="HU597" s="10"/>
      <c r="HV597" s="10"/>
      <c r="HW597" s="10"/>
      <c r="HX597" s="10"/>
      <c r="HY597" s="10"/>
      <c r="HZ597" s="10"/>
      <c r="IA597" s="10"/>
      <c r="IB597" s="10"/>
      <c r="IC597" s="10"/>
      <c r="ID597" s="10"/>
      <c r="IE597" s="10"/>
      <c r="IF597" s="10"/>
      <c r="IG597" s="10"/>
      <c r="IH597" s="10"/>
      <c r="II597" s="10"/>
      <c r="IJ597" s="10"/>
      <c r="IK597" s="10"/>
      <c r="IL597" s="10"/>
      <c r="IM597" s="10"/>
      <c r="IN597" s="10"/>
      <c r="IO597" s="10"/>
      <c r="IP597" s="10"/>
      <c r="IQ597" s="10"/>
      <c r="IR597" s="10"/>
      <c r="IS597" s="10"/>
      <c r="IT597" s="10"/>
      <c r="IU597" s="10"/>
      <c r="IV597" s="10"/>
      <c r="IW597" s="10"/>
    </row>
    <row r="598" spans="1:257">
      <c r="A598" s="34"/>
      <c r="B598" s="50"/>
      <c r="C598" s="24"/>
      <c r="D598" s="24"/>
      <c r="E598" s="24"/>
      <c r="F598" s="25"/>
      <c r="G598" s="25"/>
      <c r="H598" s="25"/>
      <c r="I598" s="25"/>
      <c r="J598" s="25"/>
      <c r="K598" s="25"/>
      <c r="L598" s="25"/>
      <c r="M598" s="25"/>
      <c r="N598" s="25"/>
      <c r="O598" s="25"/>
      <c r="P598" s="25"/>
      <c r="Q598" s="25"/>
      <c r="R598" s="24"/>
      <c r="S598" s="26">
        <f t="shared" si="37"/>
        <v>0</v>
      </c>
      <c r="T598" s="26">
        <f>COUNTIF($V$4:V598,V598)</f>
        <v>555</v>
      </c>
      <c r="U598" s="26" t="str">
        <f>IF(T598=1,COUNTIF($T$4:T598,1),"")</f>
        <v/>
      </c>
      <c r="V598" s="27" t="str">
        <f t="shared" si="39"/>
        <v/>
      </c>
      <c r="W598" s="27">
        <f t="shared" si="38"/>
        <v>0</v>
      </c>
      <c r="X598" s="28"/>
      <c r="Y598" s="27"/>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10"/>
      <c r="DJ598" s="10"/>
      <c r="DK598" s="10"/>
      <c r="DL598" s="10"/>
      <c r="DM598" s="10"/>
      <c r="DN598" s="10"/>
      <c r="DO598" s="10"/>
      <c r="DP598" s="10"/>
      <c r="DQ598" s="10"/>
      <c r="DR598" s="10"/>
      <c r="DS598" s="10"/>
      <c r="DT598" s="10"/>
      <c r="DU598" s="10"/>
      <c r="DV598" s="10"/>
      <c r="DW598" s="10"/>
      <c r="DX598" s="10"/>
      <c r="DY598" s="10"/>
      <c r="DZ598" s="10"/>
      <c r="EA598" s="10"/>
      <c r="EB598" s="10"/>
      <c r="EC598" s="10"/>
      <c r="ED598" s="10"/>
      <c r="EE598" s="10"/>
      <c r="EF598" s="10"/>
      <c r="EG598" s="10"/>
      <c r="EH598" s="10"/>
      <c r="EI598" s="10"/>
      <c r="EJ598" s="10"/>
      <c r="EK598" s="10"/>
      <c r="EL598" s="10"/>
      <c r="EM598" s="10"/>
      <c r="EN598" s="10"/>
      <c r="EO598" s="10"/>
      <c r="EP598" s="10"/>
      <c r="EQ598" s="10"/>
      <c r="ER598" s="10"/>
      <c r="ES598" s="10"/>
      <c r="ET598" s="10"/>
      <c r="EU598" s="10"/>
      <c r="EV598" s="10"/>
      <c r="EW598" s="10"/>
      <c r="EX598" s="10"/>
      <c r="EY598" s="10"/>
      <c r="EZ598" s="10"/>
      <c r="FA598" s="10"/>
      <c r="FB598" s="10"/>
      <c r="FC598" s="10"/>
      <c r="FD598" s="10"/>
      <c r="FE598" s="10"/>
      <c r="FF598" s="10"/>
      <c r="FG598" s="10"/>
      <c r="FH598" s="10"/>
      <c r="FI598" s="10"/>
      <c r="FJ598" s="10"/>
      <c r="FK598" s="10"/>
      <c r="FL598" s="10"/>
      <c r="FM598" s="10"/>
      <c r="FN598" s="10"/>
      <c r="FO598" s="10"/>
      <c r="FP598" s="10"/>
      <c r="FQ598" s="10"/>
      <c r="FR598" s="10"/>
      <c r="FS598" s="10"/>
      <c r="FT598" s="10"/>
      <c r="FU598" s="10"/>
      <c r="FV598" s="10"/>
      <c r="FW598" s="10"/>
      <c r="FX598" s="10"/>
      <c r="FY598" s="10"/>
      <c r="FZ598" s="10"/>
      <c r="GA598" s="10"/>
      <c r="GB598" s="10"/>
      <c r="GC598" s="10"/>
      <c r="GD598" s="10"/>
      <c r="GE598" s="10"/>
      <c r="GF598" s="10"/>
      <c r="GG598" s="10"/>
      <c r="GH598" s="10"/>
      <c r="GI598" s="10"/>
      <c r="GJ598" s="10"/>
      <c r="GK598" s="10"/>
      <c r="GL598" s="10"/>
      <c r="GM598" s="10"/>
      <c r="GN598" s="10"/>
      <c r="GO598" s="10"/>
      <c r="GP598" s="10"/>
      <c r="GQ598" s="10"/>
      <c r="GR598" s="10"/>
      <c r="GS598" s="10"/>
      <c r="GT598" s="10"/>
      <c r="GU598" s="10"/>
      <c r="GV598" s="10"/>
      <c r="GW598" s="10"/>
      <c r="GX598" s="10"/>
      <c r="GY598" s="10"/>
      <c r="GZ598" s="10"/>
      <c r="HA598" s="10"/>
      <c r="HB598" s="10"/>
      <c r="HC598" s="10"/>
      <c r="HD598" s="10"/>
      <c r="HE598" s="10"/>
      <c r="HF598" s="10"/>
      <c r="HG598" s="10"/>
      <c r="HH598" s="10"/>
      <c r="HI598" s="10"/>
      <c r="HJ598" s="10"/>
      <c r="HK598" s="10"/>
      <c r="HL598" s="10"/>
      <c r="HM598" s="10"/>
      <c r="HN598" s="10"/>
      <c r="HO598" s="10"/>
      <c r="HP598" s="10"/>
      <c r="HQ598" s="10"/>
      <c r="HR598" s="10"/>
      <c r="HS598" s="10"/>
      <c r="HT598" s="10"/>
      <c r="HU598" s="10"/>
      <c r="HV598" s="10"/>
      <c r="HW598" s="10"/>
      <c r="HX598" s="10"/>
      <c r="HY598" s="10"/>
      <c r="HZ598" s="10"/>
      <c r="IA598" s="10"/>
      <c r="IB598" s="10"/>
      <c r="IC598" s="10"/>
      <c r="ID598" s="10"/>
      <c r="IE598" s="10"/>
      <c r="IF598" s="10"/>
      <c r="IG598" s="10"/>
      <c r="IH598" s="10"/>
      <c r="II598" s="10"/>
      <c r="IJ598" s="10"/>
      <c r="IK598" s="10"/>
      <c r="IL598" s="10"/>
      <c r="IM598" s="10"/>
      <c r="IN598" s="10"/>
      <c r="IO598" s="10"/>
      <c r="IP598" s="10"/>
      <c r="IQ598" s="10"/>
      <c r="IR598" s="10"/>
      <c r="IS598" s="10"/>
      <c r="IT598" s="10"/>
      <c r="IU598" s="10"/>
      <c r="IV598" s="10"/>
      <c r="IW598" s="10"/>
    </row>
    <row r="599" spans="1:257">
      <c r="A599" s="34"/>
      <c r="B599" s="50"/>
      <c r="C599" s="24"/>
      <c r="D599" s="24"/>
      <c r="E599" s="24"/>
      <c r="F599" s="25"/>
      <c r="G599" s="25"/>
      <c r="H599" s="25"/>
      <c r="I599" s="25"/>
      <c r="J599" s="25"/>
      <c r="K599" s="25"/>
      <c r="L599" s="25"/>
      <c r="M599" s="25"/>
      <c r="N599" s="25"/>
      <c r="O599" s="25"/>
      <c r="P599" s="25"/>
      <c r="Q599" s="25"/>
      <c r="R599" s="24"/>
      <c r="S599" s="26">
        <f t="shared" si="37"/>
        <v>0</v>
      </c>
      <c r="T599" s="26">
        <f>COUNTIF($V$4:V599,V599)</f>
        <v>556</v>
      </c>
      <c r="U599" s="26" t="str">
        <f>IF(T599=1,COUNTIF($T$4:T599,1),"")</f>
        <v/>
      </c>
      <c r="V599" s="27" t="str">
        <f t="shared" si="39"/>
        <v/>
      </c>
      <c r="W599" s="27">
        <f t="shared" si="38"/>
        <v>0</v>
      </c>
      <c r="X599" s="28"/>
      <c r="Y599" s="27"/>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10"/>
      <c r="DJ599" s="10"/>
      <c r="DK599" s="10"/>
      <c r="DL599" s="10"/>
      <c r="DM599" s="10"/>
      <c r="DN599" s="10"/>
      <c r="DO599" s="10"/>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c r="EY599" s="10"/>
      <c r="EZ599" s="10"/>
      <c r="FA599" s="10"/>
      <c r="FB599" s="10"/>
      <c r="FC599" s="10"/>
      <c r="FD599" s="10"/>
      <c r="FE599" s="10"/>
      <c r="FF599" s="10"/>
      <c r="FG599" s="10"/>
      <c r="FH599" s="10"/>
      <c r="FI599" s="10"/>
      <c r="FJ599" s="10"/>
      <c r="FK599" s="10"/>
      <c r="FL599" s="10"/>
      <c r="FM599" s="10"/>
      <c r="FN599" s="10"/>
      <c r="FO599" s="10"/>
      <c r="FP599" s="10"/>
      <c r="FQ599" s="10"/>
      <c r="FR599" s="10"/>
      <c r="FS599" s="10"/>
      <c r="FT599" s="10"/>
      <c r="FU599" s="10"/>
      <c r="FV599" s="10"/>
      <c r="FW599" s="10"/>
      <c r="FX599" s="10"/>
      <c r="FY599" s="10"/>
      <c r="FZ599" s="10"/>
      <c r="GA599" s="10"/>
      <c r="GB599" s="10"/>
      <c r="GC599" s="10"/>
      <c r="GD599" s="10"/>
      <c r="GE599" s="10"/>
      <c r="GF599" s="10"/>
      <c r="GG599" s="10"/>
      <c r="GH599" s="10"/>
      <c r="GI599" s="10"/>
      <c r="GJ599" s="10"/>
      <c r="GK599" s="10"/>
      <c r="GL599" s="10"/>
      <c r="GM599" s="10"/>
      <c r="GN599" s="10"/>
      <c r="GO599" s="10"/>
      <c r="GP599" s="10"/>
      <c r="GQ599" s="10"/>
      <c r="GR599" s="10"/>
      <c r="GS599" s="10"/>
      <c r="GT599" s="10"/>
      <c r="GU599" s="10"/>
      <c r="GV599" s="10"/>
      <c r="GW599" s="10"/>
      <c r="GX599" s="10"/>
      <c r="GY599" s="10"/>
      <c r="GZ599" s="10"/>
      <c r="HA599" s="10"/>
      <c r="HB599" s="10"/>
      <c r="HC599" s="10"/>
      <c r="HD599" s="10"/>
      <c r="HE599" s="10"/>
      <c r="HF599" s="10"/>
      <c r="HG599" s="10"/>
      <c r="HH599" s="10"/>
      <c r="HI599" s="10"/>
      <c r="HJ599" s="10"/>
      <c r="HK599" s="10"/>
      <c r="HL599" s="10"/>
      <c r="HM599" s="10"/>
      <c r="HN599" s="10"/>
      <c r="HO599" s="10"/>
      <c r="HP599" s="10"/>
      <c r="HQ599" s="10"/>
      <c r="HR599" s="10"/>
      <c r="HS599" s="10"/>
      <c r="HT599" s="10"/>
      <c r="HU599" s="10"/>
      <c r="HV599" s="10"/>
      <c r="HW599" s="10"/>
      <c r="HX599" s="10"/>
      <c r="HY599" s="10"/>
      <c r="HZ599" s="10"/>
      <c r="IA599" s="10"/>
      <c r="IB599" s="10"/>
      <c r="IC599" s="10"/>
      <c r="ID599" s="10"/>
      <c r="IE599" s="10"/>
      <c r="IF599" s="10"/>
      <c r="IG599" s="10"/>
      <c r="IH599" s="10"/>
      <c r="II599" s="10"/>
      <c r="IJ599" s="10"/>
      <c r="IK599" s="10"/>
      <c r="IL599" s="10"/>
      <c r="IM599" s="10"/>
      <c r="IN599" s="10"/>
      <c r="IO599" s="10"/>
      <c r="IP599" s="10"/>
      <c r="IQ599" s="10"/>
      <c r="IR599" s="10"/>
      <c r="IS599" s="10"/>
      <c r="IT599" s="10"/>
      <c r="IU599" s="10"/>
      <c r="IV599" s="10"/>
      <c r="IW599" s="10"/>
    </row>
    <row r="600" spans="1:257">
      <c r="A600" s="34"/>
      <c r="B600" s="50"/>
      <c r="C600" s="24"/>
      <c r="D600" s="24"/>
      <c r="E600" s="24"/>
      <c r="F600" s="25"/>
      <c r="G600" s="25"/>
      <c r="H600" s="25"/>
      <c r="I600" s="25"/>
      <c r="J600" s="25"/>
      <c r="K600" s="25"/>
      <c r="L600" s="25"/>
      <c r="M600" s="25"/>
      <c r="N600" s="25"/>
      <c r="O600" s="25"/>
      <c r="P600" s="25"/>
      <c r="Q600" s="25"/>
      <c r="R600" s="24"/>
      <c r="S600" s="26">
        <f t="shared" si="37"/>
        <v>0</v>
      </c>
      <c r="T600" s="26">
        <f>COUNTIF($V$4:V600,V600)</f>
        <v>557</v>
      </c>
      <c r="U600" s="26" t="str">
        <f>IF(T600=1,COUNTIF($T$4:T600,1),"")</f>
        <v/>
      </c>
      <c r="V600" s="27" t="str">
        <f t="shared" si="39"/>
        <v/>
      </c>
      <c r="W600" s="27">
        <f t="shared" si="38"/>
        <v>0</v>
      </c>
      <c r="X600" s="28"/>
      <c r="Y600" s="27"/>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c r="DL600" s="10"/>
      <c r="DM600" s="10"/>
      <c r="DN600" s="10"/>
      <c r="DO600" s="10"/>
      <c r="DP600" s="10"/>
      <c r="DQ600" s="10"/>
      <c r="DR600" s="10"/>
      <c r="DS600" s="10"/>
      <c r="DT600" s="10"/>
      <c r="DU600" s="10"/>
      <c r="DV600" s="10"/>
      <c r="DW600" s="10"/>
      <c r="DX600" s="10"/>
      <c r="DY600" s="10"/>
      <c r="DZ600" s="10"/>
      <c r="EA600" s="10"/>
      <c r="EB600" s="10"/>
      <c r="EC600" s="10"/>
      <c r="ED600" s="10"/>
      <c r="EE600" s="10"/>
      <c r="EF600" s="10"/>
      <c r="EG600" s="10"/>
      <c r="EH600" s="10"/>
      <c r="EI600" s="10"/>
      <c r="EJ600" s="10"/>
      <c r="EK600" s="10"/>
      <c r="EL600" s="10"/>
      <c r="EM600" s="10"/>
      <c r="EN600" s="10"/>
      <c r="EO600" s="10"/>
      <c r="EP600" s="10"/>
      <c r="EQ600" s="10"/>
      <c r="ER600" s="10"/>
      <c r="ES600" s="10"/>
      <c r="ET600" s="10"/>
      <c r="EU600" s="10"/>
      <c r="EV600" s="10"/>
      <c r="EW600" s="10"/>
      <c r="EX600" s="10"/>
      <c r="EY600" s="10"/>
      <c r="EZ600" s="10"/>
      <c r="FA600" s="10"/>
      <c r="FB600" s="10"/>
      <c r="FC600" s="10"/>
      <c r="FD600" s="10"/>
      <c r="FE600" s="10"/>
      <c r="FF600" s="10"/>
      <c r="FG600" s="10"/>
      <c r="FH600" s="10"/>
      <c r="FI600" s="10"/>
      <c r="FJ600" s="10"/>
      <c r="FK600" s="10"/>
      <c r="FL600" s="10"/>
      <c r="FM600" s="10"/>
      <c r="FN600" s="10"/>
      <c r="FO600" s="10"/>
      <c r="FP600" s="10"/>
      <c r="FQ600" s="10"/>
      <c r="FR600" s="10"/>
      <c r="FS600" s="10"/>
      <c r="FT600" s="10"/>
      <c r="FU600" s="10"/>
      <c r="FV600" s="10"/>
      <c r="FW600" s="10"/>
      <c r="FX600" s="10"/>
      <c r="FY600" s="10"/>
      <c r="FZ600" s="10"/>
      <c r="GA600" s="10"/>
      <c r="GB600" s="10"/>
      <c r="GC600" s="10"/>
      <c r="GD600" s="10"/>
      <c r="GE600" s="10"/>
      <c r="GF600" s="10"/>
      <c r="GG600" s="10"/>
      <c r="GH600" s="10"/>
      <c r="GI600" s="10"/>
      <c r="GJ600" s="10"/>
      <c r="GK600" s="10"/>
      <c r="GL600" s="10"/>
      <c r="GM600" s="10"/>
      <c r="GN600" s="10"/>
      <c r="GO600" s="10"/>
      <c r="GP600" s="10"/>
      <c r="GQ600" s="10"/>
      <c r="GR600" s="10"/>
      <c r="GS600" s="10"/>
      <c r="GT600" s="10"/>
      <c r="GU600" s="10"/>
      <c r="GV600" s="10"/>
      <c r="GW600" s="10"/>
      <c r="GX600" s="10"/>
      <c r="GY600" s="10"/>
      <c r="GZ600" s="10"/>
      <c r="HA600" s="10"/>
      <c r="HB600" s="10"/>
      <c r="HC600" s="10"/>
      <c r="HD600" s="10"/>
      <c r="HE600" s="10"/>
      <c r="HF600" s="10"/>
      <c r="HG600" s="10"/>
      <c r="HH600" s="10"/>
      <c r="HI600" s="10"/>
      <c r="HJ600" s="10"/>
      <c r="HK600" s="10"/>
      <c r="HL600" s="10"/>
      <c r="HM600" s="10"/>
      <c r="HN600" s="10"/>
      <c r="HO600" s="10"/>
      <c r="HP600" s="10"/>
      <c r="HQ600" s="10"/>
      <c r="HR600" s="10"/>
      <c r="HS600" s="10"/>
      <c r="HT600" s="10"/>
      <c r="HU600" s="10"/>
      <c r="HV600" s="10"/>
      <c r="HW600" s="10"/>
      <c r="HX600" s="10"/>
      <c r="HY600" s="10"/>
      <c r="HZ600" s="10"/>
      <c r="IA600" s="10"/>
      <c r="IB600" s="10"/>
      <c r="IC600" s="10"/>
      <c r="ID600" s="10"/>
      <c r="IE600" s="10"/>
      <c r="IF600" s="10"/>
      <c r="IG600" s="10"/>
      <c r="IH600" s="10"/>
      <c r="II600" s="10"/>
      <c r="IJ600" s="10"/>
      <c r="IK600" s="10"/>
      <c r="IL600" s="10"/>
      <c r="IM600" s="10"/>
      <c r="IN600" s="10"/>
      <c r="IO600" s="10"/>
      <c r="IP600" s="10"/>
      <c r="IQ600" s="10"/>
      <c r="IR600" s="10"/>
      <c r="IS600" s="10"/>
      <c r="IT600" s="10"/>
      <c r="IU600" s="10"/>
      <c r="IV600" s="10"/>
      <c r="IW600" s="10"/>
    </row>
    <row r="601" spans="1:257">
      <c r="A601" s="51"/>
      <c r="B601" s="52"/>
      <c r="C601" s="52"/>
      <c r="D601" s="53" t="s">
        <v>272</v>
      </c>
      <c r="E601" s="53"/>
      <c r="F601" s="54">
        <f>SUBTOTAL(103,'施設状況(要更新)'!$F$4:$F$600)</f>
        <v>40</v>
      </c>
      <c r="G601" s="54">
        <f>SUBTOTAL(109,'施設状況(要更新)'!$G$4:$G$600)</f>
        <v>0</v>
      </c>
      <c r="H601" s="55">
        <f>SUBTOTAL(109,'施設状況(要更新)'!$H$4:$H$600)</f>
        <v>0</v>
      </c>
      <c r="I601" s="55">
        <f>SUBTOTAL(109,'施設状況(要更新)'!$I$4:$I$600)</f>
        <v>0</v>
      </c>
      <c r="J601" s="56" t="s">
        <v>273</v>
      </c>
      <c r="K601" s="55">
        <f>SUBTOTAL(109,'施設状況(要更新)'!$K$4:$K$600)</f>
        <v>6430</v>
      </c>
      <c r="L601" s="55">
        <f>SUBTOTAL(109,'施設状況(要更新)'!$L$4:$L$600)</f>
        <v>0</v>
      </c>
      <c r="M601" s="55">
        <f>SUBTOTAL(109,'施設状況(要更新)'!$M$4:$M$600)</f>
        <v>0</v>
      </c>
      <c r="N601" s="55">
        <f>SUBTOTAL(109,'施設状況(要更新)'!$N$4:$N$600)</f>
        <v>0</v>
      </c>
      <c r="O601" s="55">
        <f>SUBTOTAL(109,'施設状況(要更新)'!$O$4:$O$600)</f>
        <v>0</v>
      </c>
      <c r="P601" s="55"/>
      <c r="Q601" s="55"/>
      <c r="R601" s="56">
        <f>SUBTOTAL(109,'施設状況(要更新)'!$R$4:$R$600)</f>
        <v>6430</v>
      </c>
      <c r="S601" s="26"/>
      <c r="T601" s="26"/>
      <c r="U601" s="26"/>
      <c r="Y601" s="27"/>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c r="DO601" s="10"/>
      <c r="DP601" s="10"/>
      <c r="DQ601" s="10"/>
      <c r="DR601" s="10"/>
      <c r="DS601" s="10"/>
      <c r="DT601" s="10"/>
      <c r="DU601" s="10"/>
      <c r="DV601" s="10"/>
      <c r="DW601" s="10"/>
      <c r="DX601" s="10"/>
      <c r="DY601" s="10"/>
      <c r="DZ601" s="10"/>
      <c r="EA601" s="10"/>
      <c r="EB601" s="10"/>
      <c r="EC601" s="10"/>
      <c r="ED601" s="10"/>
      <c r="EE601" s="10"/>
      <c r="EF601" s="10"/>
      <c r="EG601" s="10"/>
      <c r="EH601" s="10"/>
      <c r="EI601" s="10"/>
      <c r="EJ601" s="10"/>
      <c r="EK601" s="10"/>
      <c r="EL601" s="10"/>
      <c r="EM601" s="10"/>
      <c r="EN601" s="10"/>
      <c r="EO601" s="10"/>
      <c r="EP601" s="10"/>
      <c r="EQ601" s="10"/>
      <c r="ER601" s="10"/>
      <c r="ES601" s="10"/>
      <c r="ET601" s="10"/>
      <c r="EU601" s="10"/>
      <c r="EV601" s="10"/>
      <c r="EW601" s="10"/>
      <c r="EX601" s="10"/>
      <c r="EY601" s="10"/>
      <c r="EZ601" s="10"/>
      <c r="FA601" s="10"/>
      <c r="FB601" s="10"/>
      <c r="FC601" s="10"/>
      <c r="FD601" s="10"/>
      <c r="FE601" s="10"/>
      <c r="FF601" s="10"/>
      <c r="FG601" s="10"/>
      <c r="FH601" s="10"/>
      <c r="FI601" s="10"/>
      <c r="FJ601" s="10"/>
      <c r="FK601" s="10"/>
      <c r="FL601" s="10"/>
      <c r="FM601" s="10"/>
      <c r="FN601" s="10"/>
      <c r="FO601" s="10"/>
      <c r="FP601" s="10"/>
      <c r="FQ601" s="10"/>
      <c r="FR601" s="10"/>
      <c r="FS601" s="10"/>
      <c r="FT601" s="10"/>
      <c r="FU601" s="10"/>
      <c r="FV601" s="10"/>
      <c r="FW601" s="10"/>
      <c r="FX601" s="10"/>
      <c r="FY601" s="10"/>
      <c r="FZ601" s="10"/>
      <c r="GA601" s="10"/>
      <c r="GB601" s="10"/>
      <c r="GC601" s="10"/>
      <c r="GD601" s="10"/>
      <c r="GE601" s="10"/>
      <c r="GF601" s="10"/>
      <c r="GG601" s="10"/>
      <c r="GH601" s="10"/>
      <c r="GI601" s="10"/>
      <c r="GJ601" s="10"/>
      <c r="GK601" s="10"/>
      <c r="GL601" s="10"/>
      <c r="GM601" s="10"/>
      <c r="GN601" s="10"/>
      <c r="GO601" s="10"/>
      <c r="GP601" s="10"/>
      <c r="GQ601" s="10"/>
      <c r="GR601" s="10"/>
      <c r="GS601" s="10"/>
      <c r="GT601" s="10"/>
      <c r="GU601" s="10"/>
      <c r="GV601" s="10"/>
      <c r="GW601" s="10"/>
      <c r="GX601" s="10"/>
      <c r="GY601" s="10"/>
      <c r="GZ601" s="10"/>
      <c r="HA601" s="10"/>
      <c r="HB601" s="10"/>
      <c r="HC601" s="10"/>
      <c r="HD601" s="10"/>
      <c r="HE601" s="10"/>
      <c r="HF601" s="10"/>
      <c r="HG601" s="10"/>
      <c r="HH601" s="10"/>
      <c r="HI601" s="10"/>
      <c r="HJ601" s="10"/>
      <c r="HK601" s="10"/>
      <c r="HL601" s="10"/>
      <c r="HM601" s="10"/>
      <c r="HN601" s="10"/>
      <c r="HO601" s="10"/>
      <c r="HP601" s="10"/>
      <c r="HQ601" s="10"/>
      <c r="HR601" s="10"/>
      <c r="HS601" s="10"/>
      <c r="HT601" s="10"/>
      <c r="HU601" s="10"/>
      <c r="HV601" s="10"/>
      <c r="HW601" s="10"/>
      <c r="HX601" s="10"/>
      <c r="HY601" s="10"/>
      <c r="HZ601" s="10"/>
      <c r="IA601" s="10"/>
      <c r="IB601" s="10"/>
      <c r="IC601" s="10"/>
      <c r="ID601" s="10"/>
      <c r="IE601" s="10"/>
      <c r="IF601" s="10"/>
      <c r="IG601" s="10"/>
      <c r="IH601" s="10"/>
      <c r="II601" s="10"/>
      <c r="IJ601" s="10"/>
      <c r="IK601" s="10"/>
      <c r="IL601" s="10"/>
      <c r="IM601" s="10"/>
      <c r="IN601" s="10"/>
      <c r="IO601" s="10"/>
      <c r="IP601" s="10"/>
      <c r="IQ601" s="10"/>
      <c r="IR601" s="10"/>
      <c r="IS601" s="10"/>
      <c r="IT601" s="10"/>
      <c r="IU601" s="10"/>
      <c r="IV601" s="10"/>
      <c r="IW601" s="10"/>
    </row>
    <row r="602" spans="1:257">
      <c r="A602" s="26"/>
      <c r="B602" s="26"/>
      <c r="C602" s="26"/>
      <c r="D602" s="26"/>
      <c r="E602" s="26"/>
      <c r="F602" s="57">
        <v>1</v>
      </c>
      <c r="G602" s="57">
        <v>2</v>
      </c>
      <c r="H602" s="57">
        <v>3</v>
      </c>
      <c r="I602" s="57">
        <v>4</v>
      </c>
      <c r="J602" s="57">
        <v>5</v>
      </c>
      <c r="K602" s="57">
        <v>6</v>
      </c>
      <c r="L602" s="57">
        <v>7</v>
      </c>
      <c r="M602" s="57">
        <v>8</v>
      </c>
      <c r="N602" s="57">
        <v>9</v>
      </c>
      <c r="O602" s="57">
        <v>10</v>
      </c>
      <c r="P602" s="57">
        <v>11</v>
      </c>
      <c r="Q602" s="57">
        <v>12</v>
      </c>
      <c r="R602" s="57">
        <v>13</v>
      </c>
      <c r="S602" s="57">
        <v>14</v>
      </c>
      <c r="T602" s="57"/>
      <c r="U602" s="57"/>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c r="DO602" s="10"/>
      <c r="DP602" s="10"/>
      <c r="DQ602" s="10"/>
      <c r="DR602" s="10"/>
      <c r="DS602" s="10"/>
      <c r="DT602" s="10"/>
      <c r="DU602" s="10"/>
      <c r="DV602" s="10"/>
      <c r="DW602" s="10"/>
      <c r="DX602" s="10"/>
      <c r="DY602" s="10"/>
      <c r="DZ602" s="10"/>
      <c r="EA602" s="10"/>
      <c r="EB602" s="10"/>
      <c r="EC602" s="10"/>
      <c r="ED602" s="10"/>
      <c r="EE602" s="10"/>
      <c r="EF602" s="10"/>
      <c r="EG602" s="10"/>
      <c r="EH602" s="10"/>
      <c r="EI602" s="10"/>
      <c r="EJ602" s="10"/>
      <c r="EK602" s="10"/>
      <c r="EL602" s="10"/>
      <c r="EM602" s="10"/>
      <c r="EN602" s="10"/>
      <c r="EO602" s="10"/>
      <c r="EP602" s="10"/>
      <c r="EQ602" s="10"/>
      <c r="ER602" s="10"/>
      <c r="ES602" s="10"/>
      <c r="ET602" s="10"/>
      <c r="EU602" s="10"/>
      <c r="EV602" s="10"/>
      <c r="EW602" s="10"/>
      <c r="EX602" s="10"/>
      <c r="EY602" s="10"/>
      <c r="EZ602" s="10"/>
      <c r="FA602" s="10"/>
      <c r="FB602" s="10"/>
      <c r="FC602" s="10"/>
      <c r="FD602" s="10"/>
      <c r="FE602" s="10"/>
      <c r="FF602" s="10"/>
      <c r="FG602" s="10"/>
      <c r="FH602" s="10"/>
      <c r="FI602" s="10"/>
      <c r="FJ602" s="10"/>
      <c r="FK602" s="10"/>
      <c r="FL602" s="10"/>
      <c r="FM602" s="10"/>
      <c r="FN602" s="10"/>
      <c r="FO602" s="10"/>
      <c r="FP602" s="10"/>
      <c r="FQ602" s="10"/>
      <c r="FR602" s="10"/>
      <c r="FS602" s="10"/>
      <c r="FT602" s="10"/>
      <c r="FU602" s="10"/>
      <c r="FV602" s="10"/>
      <c r="FW602" s="10"/>
      <c r="FX602" s="10"/>
      <c r="FY602" s="10"/>
      <c r="FZ602" s="10"/>
      <c r="GA602" s="10"/>
      <c r="GB602" s="10"/>
      <c r="GC602" s="10"/>
      <c r="GD602" s="10"/>
      <c r="GE602" s="10"/>
      <c r="GF602" s="10"/>
      <c r="GG602" s="10"/>
      <c r="GH602" s="10"/>
      <c r="GI602" s="10"/>
      <c r="GJ602" s="10"/>
      <c r="GK602" s="10"/>
      <c r="GL602" s="10"/>
      <c r="GM602" s="10"/>
      <c r="GN602" s="10"/>
      <c r="GO602" s="10"/>
      <c r="GP602" s="10"/>
      <c r="GQ602" s="10"/>
      <c r="GR602" s="10"/>
      <c r="GS602" s="10"/>
      <c r="GT602" s="10"/>
      <c r="GU602" s="10"/>
      <c r="GV602" s="10"/>
      <c r="GW602" s="10"/>
      <c r="GX602" s="10"/>
      <c r="GY602" s="10"/>
      <c r="GZ602" s="10"/>
      <c r="HA602" s="10"/>
      <c r="HB602" s="10"/>
      <c r="HC602" s="10"/>
      <c r="HD602" s="10"/>
      <c r="HE602" s="10"/>
      <c r="HF602" s="10"/>
      <c r="HG602" s="10"/>
      <c r="HH602" s="10"/>
      <c r="HI602" s="10"/>
      <c r="HJ602" s="10"/>
      <c r="HK602" s="10"/>
      <c r="HL602" s="10"/>
      <c r="HM602" s="10"/>
      <c r="HN602" s="10"/>
      <c r="HO602" s="10"/>
      <c r="HP602" s="10"/>
      <c r="HQ602" s="10"/>
      <c r="HR602" s="10"/>
      <c r="HS602" s="10"/>
      <c r="HT602" s="10"/>
      <c r="HU602" s="10"/>
      <c r="HV602" s="10"/>
      <c r="HW602" s="10"/>
      <c r="HX602" s="10"/>
      <c r="HY602" s="10"/>
      <c r="HZ602" s="10"/>
      <c r="IA602" s="10"/>
      <c r="IB602" s="10"/>
      <c r="IC602" s="10"/>
      <c r="ID602" s="10"/>
      <c r="IE602" s="10"/>
      <c r="IF602" s="10"/>
      <c r="IG602" s="10"/>
      <c r="IH602" s="10"/>
      <c r="II602" s="10"/>
      <c r="IJ602" s="10"/>
      <c r="IK602" s="10"/>
      <c r="IL602" s="10"/>
      <c r="IM602" s="10"/>
      <c r="IN602" s="10"/>
      <c r="IO602" s="10"/>
      <c r="IP602" s="10"/>
      <c r="IQ602" s="10"/>
      <c r="IR602" s="10"/>
      <c r="IS602" s="10"/>
      <c r="IT602" s="10"/>
      <c r="IU602" s="10"/>
      <c r="IV602" s="10"/>
      <c r="IW602" s="10"/>
    </row>
  </sheetData>
  <sheetProtection algorithmName="SHA-512" hashValue="3AGIddzzolMx+cec5Ng0PEf1lGdf0xnu3X4kiE0AOaYilH6B66zeDyvn+HhPE84qTkZOBNhawrFC80uwJ4Er9g==" saltValue="UAIpcehbPYxmDsL0BbSf7w==" spinCount="100000" sheet="1" objects="1" scenarios="1"/>
  <mergeCells count="2">
    <mergeCell ref="C1:D1"/>
    <mergeCell ref="P1:Q1"/>
  </mergeCells>
  <phoneticPr fontId="1"/>
  <dataValidations count="2">
    <dataValidation imeMode="hiragana" allowBlank="1" showInputMessage="1" showErrorMessage="1" sqref="B4:D408" xr:uid="{00000000-0002-0000-0000-000000000000}"/>
    <dataValidation imeMode="off" allowBlank="1" showInputMessage="1" showErrorMessage="1" sqref="V4:W600 X4:X408 E48:E408 E4 F4:U408" xr:uid="{00000000-0002-0000-0000-000001000000}"/>
  </dataValidation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pageSetUpPr fitToPage="1"/>
  </sheetPr>
  <dimension ref="A1:V37"/>
  <sheetViews>
    <sheetView view="pageBreakPreview" zoomScale="90" zoomScaleNormal="70" zoomScaleSheetLayoutView="90" workbookViewId="0"/>
  </sheetViews>
  <sheetFormatPr defaultColWidth="9" defaultRowHeight="13.5" outlineLevelCol="1"/>
  <cols>
    <col min="1" max="11" width="8.125" style="195" customWidth="1"/>
    <col min="12" max="12" width="12" style="195" customWidth="1"/>
    <col min="13" max="13" width="52.5" style="195" customWidth="1"/>
    <col min="14" max="14" width="9.5" style="195" hidden="1" customWidth="1" outlineLevel="1"/>
    <col min="15" max="21" width="9" style="195" hidden="1" customWidth="1" outlineLevel="1"/>
    <col min="22" max="22" width="9" style="195" collapsed="1"/>
    <col min="23" max="16384" width="9" style="195"/>
  </cols>
  <sheetData>
    <row r="1" spans="1:21" ht="23.1" customHeight="1">
      <c r="A1" s="495" t="s">
        <v>972</v>
      </c>
      <c r="B1" s="491"/>
      <c r="C1" s="491"/>
      <c r="D1" s="491"/>
      <c r="E1" s="491"/>
      <c r="F1" s="204"/>
      <c r="G1" s="1942" t="str">
        <f>N2&amp;"別紙7"&amp;N3</f>
        <v>加-25_4月申-別紙7-幼_Ver.4.00</v>
      </c>
      <c r="H1" s="1942"/>
      <c r="I1" s="1942"/>
      <c r="J1" s="1942"/>
      <c r="K1" s="1942"/>
      <c r="L1" s="204"/>
      <c r="N1" s="221" t="s">
        <v>942</v>
      </c>
      <c r="Q1" s="205" t="s">
        <v>595</v>
      </c>
      <c r="R1" s="196" t="s">
        <v>596</v>
      </c>
      <c r="S1" s="196" t="s">
        <v>597</v>
      </c>
      <c r="T1" s="196" t="s">
        <v>605</v>
      </c>
      <c r="U1" s="196" t="s">
        <v>619</v>
      </c>
    </row>
    <row r="2" spans="1:21" ht="23.1" customHeight="1">
      <c r="A2" s="1902" t="s">
        <v>973</v>
      </c>
      <c r="B2" s="1902"/>
      <c r="C2" s="1902"/>
      <c r="D2" s="1902"/>
      <c r="E2" s="1902"/>
      <c r="F2" s="1902"/>
      <c r="G2" s="1902"/>
      <c r="H2" s="1902"/>
      <c r="I2" s="1902"/>
      <c r="J2" s="1902"/>
      <c r="K2" s="1902"/>
      <c r="L2" s="1902"/>
      <c r="N2" s="221" t="str">
        <f>【様式１】総括表・個票!$AJ$2</f>
        <v>加-25_4月申-</v>
      </c>
      <c r="Q2" s="205"/>
      <c r="R2" s="196"/>
      <c r="S2" s="196"/>
      <c r="T2" s="196"/>
      <c r="U2" s="196"/>
    </row>
    <row r="3" spans="1:21" ht="23.1" customHeight="1">
      <c r="A3" s="1902"/>
      <c r="B3" s="1902"/>
      <c r="C3" s="1902"/>
      <c r="D3" s="1902"/>
      <c r="E3" s="1902"/>
      <c r="F3" s="1902"/>
      <c r="G3" s="1902"/>
      <c r="H3" s="1902"/>
      <c r="I3" s="1902"/>
      <c r="J3" s="1902"/>
      <c r="K3" s="1902"/>
      <c r="L3" s="1902"/>
      <c r="N3" s="221" t="str">
        <f>【様式１】総括表・個票!$AJ$3</f>
        <v>-幼_Ver.4.00</v>
      </c>
      <c r="Q3" s="205">
        <f>【様式１】総括表・個票!AK2</f>
        <v>2025</v>
      </c>
      <c r="R3" s="196">
        <f>4</f>
        <v>4</v>
      </c>
      <c r="S3" s="196">
        <v>1</v>
      </c>
      <c r="T3" s="196" t="s">
        <v>608</v>
      </c>
      <c r="U3" s="196" t="s">
        <v>620</v>
      </c>
    </row>
    <row r="4" spans="1:21" ht="23.1" customHeight="1">
      <c r="A4" s="492" t="s">
        <v>613</v>
      </c>
      <c r="B4" s="204"/>
      <c r="C4" s="204"/>
      <c r="D4" s="204"/>
      <c r="E4" s="204"/>
      <c r="F4" s="204"/>
      <c r="G4" s="204"/>
      <c r="H4" s="204"/>
      <c r="I4" s="204"/>
      <c r="J4" s="204"/>
      <c r="K4" s="204"/>
      <c r="L4" s="204"/>
      <c r="Q4" s="205">
        <f>Q3+1</f>
        <v>2026</v>
      </c>
      <c r="R4" s="196">
        <v>5</v>
      </c>
      <c r="S4" s="196">
        <v>2</v>
      </c>
      <c r="T4" s="196" t="s">
        <v>609</v>
      </c>
      <c r="U4" s="196" t="s">
        <v>621</v>
      </c>
    </row>
    <row r="5" spans="1:21" ht="23.1" customHeight="1">
      <c r="A5" s="1902" t="s">
        <v>626</v>
      </c>
      <c r="B5" s="1902"/>
      <c r="C5" s="1902"/>
      <c r="D5" s="1902"/>
      <c r="E5" s="1902"/>
      <c r="F5" s="1902"/>
      <c r="G5" s="1902"/>
      <c r="H5" s="1902"/>
      <c r="I5" s="1902"/>
      <c r="J5" s="1902"/>
      <c r="K5" s="1902"/>
      <c r="L5" s="493"/>
      <c r="Q5" s="206"/>
      <c r="R5" s="196">
        <v>6</v>
      </c>
      <c r="S5" s="205">
        <v>3</v>
      </c>
      <c r="T5" s="206"/>
      <c r="U5" s="206"/>
    </row>
    <row r="6" spans="1:21" ht="23.1" customHeight="1">
      <c r="A6" s="1902"/>
      <c r="B6" s="1902"/>
      <c r="C6" s="1902"/>
      <c r="D6" s="1902"/>
      <c r="E6" s="1902"/>
      <c r="F6" s="1902"/>
      <c r="G6" s="1902"/>
      <c r="H6" s="1902"/>
      <c r="I6" s="1902"/>
      <c r="J6" s="1902"/>
      <c r="K6" s="1902"/>
      <c r="L6" s="493"/>
      <c r="Q6" s="206"/>
      <c r="R6" s="196">
        <v>7</v>
      </c>
      <c r="S6" s="196">
        <v>4</v>
      </c>
      <c r="T6" s="206"/>
      <c r="U6" s="206"/>
    </row>
    <row r="7" spans="1:21" ht="23.1" customHeight="1">
      <c r="A7" s="1905" t="s">
        <v>614</v>
      </c>
      <c r="B7" s="1905"/>
      <c r="C7" s="1905"/>
      <c r="D7" s="1905"/>
      <c r="E7" s="1905"/>
      <c r="F7" s="1905"/>
      <c r="G7" s="1905"/>
      <c r="H7" s="1905"/>
      <c r="I7" s="1905"/>
      <c r="J7" s="1905"/>
      <c r="K7" s="1905"/>
      <c r="L7" s="204"/>
      <c r="R7" s="196">
        <v>8</v>
      </c>
      <c r="S7" s="196">
        <v>5</v>
      </c>
      <c r="T7" s="206"/>
    </row>
    <row r="8" spans="1:21" ht="23.1" customHeight="1" thickBot="1">
      <c r="A8" s="1906"/>
      <c r="B8" s="1906"/>
      <c r="C8" s="1906"/>
      <c r="D8" s="1906"/>
      <c r="E8" s="1906"/>
      <c r="F8" s="1906"/>
      <c r="G8" s="1906"/>
      <c r="H8" s="1906"/>
      <c r="I8" s="1906"/>
      <c r="J8" s="1906"/>
      <c r="K8" s="1906"/>
      <c r="L8" s="204"/>
      <c r="R8" s="196">
        <v>9</v>
      </c>
      <c r="S8" s="196">
        <v>6</v>
      </c>
    </row>
    <row r="9" spans="1:21" ht="23.1" customHeight="1" thickBot="1">
      <c r="A9" s="1954" t="s">
        <v>623</v>
      </c>
      <c r="B9" s="1955"/>
      <c r="C9" s="1955"/>
      <c r="D9" s="1955" t="str">
        <f>IF(AND(N11,N12,N13,N15,N16,N17,N18,N19,N20,N21,N24,N25,N27,N28,N29,N30,N31,N32,N33,N36,N37),"○","×")</f>
        <v>×</v>
      </c>
      <c r="E9" s="1955"/>
      <c r="F9" s="1957" t="s">
        <v>622</v>
      </c>
      <c r="G9" s="1955"/>
      <c r="H9" s="1955"/>
      <c r="I9" s="1955" t="str">
        <f>IF(D9="○",IF(OR(H11=4,AND(H11=5,J11=1)),4,IF(J11=1,H11,H11+1)),"")</f>
        <v/>
      </c>
      <c r="J9" s="1955"/>
      <c r="K9" s="494" t="s">
        <v>617</v>
      </c>
      <c r="L9" s="204"/>
      <c r="R9" s="196">
        <v>10</v>
      </c>
      <c r="S9" s="196">
        <v>7</v>
      </c>
    </row>
    <row r="10" spans="1:21" ht="23.1" customHeight="1">
      <c r="A10" s="1937" t="s">
        <v>593</v>
      </c>
      <c r="B10" s="1938"/>
      <c r="C10" s="1938"/>
      <c r="D10" s="1938"/>
      <c r="E10" s="1938"/>
      <c r="F10" s="1938"/>
      <c r="G10" s="1938"/>
      <c r="H10" s="1938"/>
      <c r="I10" s="1938"/>
      <c r="J10" s="1938"/>
      <c r="K10" s="1939"/>
      <c r="L10" s="204"/>
      <c r="R10" s="196">
        <v>11</v>
      </c>
      <c r="S10" s="196">
        <v>8</v>
      </c>
    </row>
    <row r="11" spans="1:21" ht="23.1" customHeight="1">
      <c r="A11" s="207" t="s">
        <v>594</v>
      </c>
      <c r="B11" s="208"/>
      <c r="C11" s="208"/>
      <c r="D11" s="208"/>
      <c r="E11" s="209"/>
      <c r="F11" s="217"/>
      <c r="G11" s="974" t="s">
        <v>595</v>
      </c>
      <c r="H11" s="217"/>
      <c r="I11" s="974" t="s">
        <v>596</v>
      </c>
      <c r="J11" s="217"/>
      <c r="K11" s="210" t="s">
        <v>597</v>
      </c>
      <c r="L11" s="211" t="str">
        <f>IF(N11,"","←エラー")</f>
        <v>←エラー</v>
      </c>
      <c r="N11" s="212" t="b">
        <f>IFERROR(AND(AND(F11&gt;0,H11&gt;0,J11&gt;0),DATE($Q$3,4,1)&lt;=DATE(F11,H11,J11),DATE($Q$3+1,3,31)&gt;=DATE(F11,H11,J11)),FALSE)</f>
        <v>0</v>
      </c>
      <c r="R11" s="196">
        <v>12</v>
      </c>
      <c r="S11" s="196">
        <v>9</v>
      </c>
    </row>
    <row r="12" spans="1:21" ht="23.1" customHeight="1">
      <c r="A12" s="1907" t="s">
        <v>611</v>
      </c>
      <c r="B12" s="1908"/>
      <c r="C12" s="1908"/>
      <c r="D12" s="1925" t="s">
        <v>606</v>
      </c>
      <c r="E12" s="1909"/>
      <c r="F12" s="1932"/>
      <c r="G12" s="1932"/>
      <c r="H12" s="1932"/>
      <c r="I12" s="1932"/>
      <c r="J12" s="1932"/>
      <c r="K12" s="1933"/>
      <c r="L12" s="211" t="str">
        <f>IF(N12,"","←エラー")</f>
        <v>←エラー</v>
      </c>
      <c r="N12" s="196" t="b">
        <f>ISTEXT(F12)</f>
        <v>0</v>
      </c>
      <c r="R12" s="196">
        <v>1</v>
      </c>
      <c r="S12" s="196">
        <v>10</v>
      </c>
    </row>
    <row r="13" spans="1:21" ht="23.1" customHeight="1" thickBot="1">
      <c r="A13" s="1946"/>
      <c r="B13" s="1927"/>
      <c r="C13" s="1927"/>
      <c r="D13" s="1926" t="s">
        <v>607</v>
      </c>
      <c r="E13" s="1928"/>
      <c r="F13" s="1910"/>
      <c r="G13" s="1911"/>
      <c r="H13" s="1911"/>
      <c r="I13" s="1911"/>
      <c r="J13" s="1911"/>
      <c r="K13" s="1912"/>
      <c r="L13" s="211" t="str">
        <f>IF(N13,"","←エラー")</f>
        <v>←エラー</v>
      </c>
      <c r="N13" s="196" t="b">
        <f>ISTEXT(F13)</f>
        <v>0</v>
      </c>
      <c r="R13" s="196">
        <v>2</v>
      </c>
      <c r="S13" s="196">
        <v>11</v>
      </c>
    </row>
    <row r="14" spans="1:21" ht="23.1" customHeight="1">
      <c r="A14" s="1937" t="s">
        <v>598</v>
      </c>
      <c r="B14" s="1938"/>
      <c r="C14" s="1938"/>
      <c r="D14" s="1938"/>
      <c r="E14" s="1938"/>
      <c r="F14" s="1938"/>
      <c r="G14" s="1938"/>
      <c r="H14" s="1938"/>
      <c r="I14" s="1938"/>
      <c r="J14" s="1938"/>
      <c r="K14" s="1939"/>
      <c r="L14" s="204"/>
      <c r="N14" s="213"/>
      <c r="R14" s="196">
        <v>3</v>
      </c>
      <c r="S14" s="196">
        <v>12</v>
      </c>
    </row>
    <row r="15" spans="1:21" ht="23.1" customHeight="1">
      <c r="A15" s="1947" t="s">
        <v>599</v>
      </c>
      <c r="B15" s="1948"/>
      <c r="C15" s="1940" t="s">
        <v>600</v>
      </c>
      <c r="D15" s="1940"/>
      <c r="E15" s="1941"/>
      <c r="F15" s="1952"/>
      <c r="G15" s="1952"/>
      <c r="H15" s="1952"/>
      <c r="I15" s="1952"/>
      <c r="J15" s="1952"/>
      <c r="K15" s="1953"/>
      <c r="L15" s="211" t="str">
        <f t="shared" ref="L15:L20" si="0">IF(N15,"","←エラー")</f>
        <v>←エラー</v>
      </c>
      <c r="N15" s="196" t="b">
        <f t="shared" ref="N15" si="1">ISTEXT(F15)</f>
        <v>0</v>
      </c>
      <c r="S15" s="196">
        <v>13</v>
      </c>
    </row>
    <row r="16" spans="1:21" ht="23.1" customHeight="1">
      <c r="A16" s="1916"/>
      <c r="B16" s="1949"/>
      <c r="C16" s="1945" t="s">
        <v>601</v>
      </c>
      <c r="D16" s="1930" t="s">
        <v>606</v>
      </c>
      <c r="E16" s="1931"/>
      <c r="F16" s="1932"/>
      <c r="G16" s="1932"/>
      <c r="H16" s="1932"/>
      <c r="I16" s="1932"/>
      <c r="J16" s="1932"/>
      <c r="K16" s="1933"/>
      <c r="L16" s="211" t="str">
        <f t="shared" si="0"/>
        <v>←エラー</v>
      </c>
      <c r="N16" s="196" t="b">
        <f>ISTEXT(F16)</f>
        <v>0</v>
      </c>
      <c r="S16" s="196">
        <v>14</v>
      </c>
    </row>
    <row r="17" spans="1:19" ht="23.1" customHeight="1">
      <c r="A17" s="1916"/>
      <c r="B17" s="1949"/>
      <c r="C17" s="1945"/>
      <c r="D17" s="1930" t="s">
        <v>607</v>
      </c>
      <c r="E17" s="1931"/>
      <c r="F17" s="1956"/>
      <c r="G17" s="1932"/>
      <c r="H17" s="1932"/>
      <c r="I17" s="1932"/>
      <c r="J17" s="1932"/>
      <c r="K17" s="1933"/>
      <c r="L17" s="211" t="str">
        <f>IF(N17,"","←エラー")</f>
        <v>←エラー</v>
      </c>
      <c r="N17" s="196" t="b">
        <f>ISTEXT(F17)</f>
        <v>0</v>
      </c>
      <c r="S17" s="196">
        <v>15</v>
      </c>
    </row>
    <row r="18" spans="1:19" ht="23.1" customHeight="1">
      <c r="A18" s="1950"/>
      <c r="B18" s="1951"/>
      <c r="C18" s="1943" t="s">
        <v>610</v>
      </c>
      <c r="D18" s="1943"/>
      <c r="E18" s="1944"/>
      <c r="F18" s="1903"/>
      <c r="G18" s="1903"/>
      <c r="H18" s="1903"/>
      <c r="I18" s="1903"/>
      <c r="J18" s="1903"/>
      <c r="K18" s="1904"/>
      <c r="L18" s="211" t="str">
        <f t="shared" si="0"/>
        <v>←エラー</v>
      </c>
      <c r="N18" s="196" t="b">
        <f>F18=$T$4</f>
        <v>0</v>
      </c>
      <c r="S18" s="196">
        <v>16</v>
      </c>
    </row>
    <row r="19" spans="1:19" ht="23.1" customHeight="1">
      <c r="A19" s="1907" t="s">
        <v>602</v>
      </c>
      <c r="B19" s="1908"/>
      <c r="C19" s="1908"/>
      <c r="D19" s="1908"/>
      <c r="E19" s="1909"/>
      <c r="F19" s="975"/>
      <c r="G19" s="973" t="s">
        <v>595</v>
      </c>
      <c r="H19" s="976"/>
      <c r="I19" s="973" t="s">
        <v>596</v>
      </c>
      <c r="J19" s="976"/>
      <c r="K19" s="214" t="s">
        <v>597</v>
      </c>
      <c r="L19" s="211" t="str">
        <f t="shared" si="0"/>
        <v>←エラー</v>
      </c>
      <c r="N19" s="212" t="b">
        <f>IFERROR(AND(AND(F19&gt;0,H19&gt;0,J19&gt;0),DATE($Q$3,4,1)&lt;=DATE(F19,H19,J19),DATE($Q$3+1,3,31)&gt;=DATE(F19,H19,J19)),FALSE)</f>
        <v>0</v>
      </c>
      <c r="S19" s="196">
        <v>17</v>
      </c>
    </row>
    <row r="20" spans="1:19" ht="23.1" customHeight="1">
      <c r="A20" s="1907" t="s">
        <v>603</v>
      </c>
      <c r="B20" s="1908"/>
      <c r="C20" s="1908"/>
      <c r="D20" s="1908"/>
      <c r="E20" s="1909"/>
      <c r="F20" s="1932"/>
      <c r="G20" s="1932"/>
      <c r="H20" s="1932"/>
      <c r="I20" s="1932"/>
      <c r="J20" s="1932"/>
      <c r="K20" s="1933"/>
      <c r="L20" s="211" t="str">
        <f t="shared" si="0"/>
        <v>←エラー</v>
      </c>
      <c r="N20" s="196" t="b">
        <f>ISTEXT(F20)</f>
        <v>0</v>
      </c>
      <c r="S20" s="196">
        <v>18</v>
      </c>
    </row>
    <row r="21" spans="1:19" ht="23.1" customHeight="1">
      <c r="A21" s="1913" t="s">
        <v>604</v>
      </c>
      <c r="B21" s="1914"/>
      <c r="C21" s="1914"/>
      <c r="D21" s="1914"/>
      <c r="E21" s="1915"/>
      <c r="F21" s="1919"/>
      <c r="G21" s="1920"/>
      <c r="H21" s="1920"/>
      <c r="I21" s="1920"/>
      <c r="J21" s="1920"/>
      <c r="K21" s="1921"/>
      <c r="L21" s="211" t="str">
        <f>IF(N21,"","←エラー")</f>
        <v>←エラー</v>
      </c>
      <c r="N21" s="196" t="b">
        <f>ISTEXT(F21)</f>
        <v>0</v>
      </c>
      <c r="S21" s="196">
        <v>19</v>
      </c>
    </row>
    <row r="22" spans="1:19" ht="23.1" customHeight="1">
      <c r="A22" s="1916"/>
      <c r="B22" s="1917"/>
      <c r="C22" s="1917"/>
      <c r="D22" s="1917"/>
      <c r="E22" s="1918"/>
      <c r="F22" s="1922"/>
      <c r="G22" s="1923"/>
      <c r="H22" s="1923"/>
      <c r="I22" s="1923"/>
      <c r="J22" s="1923"/>
      <c r="K22" s="1924"/>
      <c r="L22" s="211"/>
      <c r="S22" s="196">
        <v>20</v>
      </c>
    </row>
    <row r="23" spans="1:19" ht="23.1" customHeight="1">
      <c r="A23" s="1916"/>
      <c r="B23" s="1917"/>
      <c r="C23" s="1917"/>
      <c r="D23" s="1917"/>
      <c r="E23" s="1918"/>
      <c r="F23" s="1922"/>
      <c r="G23" s="1923"/>
      <c r="H23" s="1923"/>
      <c r="I23" s="1923"/>
      <c r="J23" s="1923"/>
      <c r="K23" s="1924"/>
      <c r="L23" s="211"/>
      <c r="S23" s="196">
        <v>21</v>
      </c>
    </row>
    <row r="24" spans="1:19" ht="23.1" customHeight="1">
      <c r="A24" s="215"/>
      <c r="B24" s="1925" t="s">
        <v>624</v>
      </c>
      <c r="C24" s="1908"/>
      <c r="D24" s="1908"/>
      <c r="E24" s="1909"/>
      <c r="F24" s="1929"/>
      <c r="G24" s="1903"/>
      <c r="H24" s="1903"/>
      <c r="I24" s="1903"/>
      <c r="J24" s="1903"/>
      <c r="K24" s="1904"/>
      <c r="L24" s="211" t="str">
        <f t="shared" ref="L24:L25" si="2">IF(N24,"","←エラー")</f>
        <v>←エラー</v>
      </c>
      <c r="N24" s="196" t="b">
        <f>F24=$U$3</f>
        <v>0</v>
      </c>
      <c r="S24" s="196">
        <v>22</v>
      </c>
    </row>
    <row r="25" spans="1:19" ht="23.1" customHeight="1" thickBot="1">
      <c r="A25" s="216"/>
      <c r="B25" s="1926" t="s">
        <v>625</v>
      </c>
      <c r="C25" s="1927"/>
      <c r="D25" s="1927"/>
      <c r="E25" s="1928"/>
      <c r="F25" s="1934"/>
      <c r="G25" s="1935"/>
      <c r="H25" s="1935"/>
      <c r="I25" s="1935"/>
      <c r="J25" s="1935"/>
      <c r="K25" s="1936"/>
      <c r="L25" s="211" t="str">
        <f t="shared" si="2"/>
        <v>←エラー</v>
      </c>
      <c r="N25" s="196" t="b">
        <f>F25=$U$3</f>
        <v>0</v>
      </c>
      <c r="S25" s="196">
        <v>23</v>
      </c>
    </row>
    <row r="26" spans="1:19" ht="23.1" customHeight="1">
      <c r="A26" s="1937" t="s">
        <v>612</v>
      </c>
      <c r="B26" s="1938"/>
      <c r="C26" s="1938"/>
      <c r="D26" s="1938"/>
      <c r="E26" s="1938"/>
      <c r="F26" s="1938"/>
      <c r="G26" s="1938"/>
      <c r="H26" s="1938"/>
      <c r="I26" s="1938"/>
      <c r="J26" s="1938"/>
      <c r="K26" s="1939"/>
      <c r="L26" s="204"/>
      <c r="N26" s="213"/>
      <c r="S26" s="196">
        <v>24</v>
      </c>
    </row>
    <row r="27" spans="1:19" ht="23.1" customHeight="1">
      <c r="A27" s="1947" t="s">
        <v>599</v>
      </c>
      <c r="B27" s="1948"/>
      <c r="C27" s="1940" t="s">
        <v>600</v>
      </c>
      <c r="D27" s="1940"/>
      <c r="E27" s="1941"/>
      <c r="F27" s="1952"/>
      <c r="G27" s="1952"/>
      <c r="H27" s="1952"/>
      <c r="I27" s="1952"/>
      <c r="J27" s="1952"/>
      <c r="K27" s="1953"/>
      <c r="L27" s="211" t="str">
        <f t="shared" ref="L27:L28" si="3">IF(N27,"","←エラー")</f>
        <v>←エラー</v>
      </c>
      <c r="N27" s="196" t="b">
        <f t="shared" ref="N27" si="4">ISTEXT(F27)</f>
        <v>0</v>
      </c>
      <c r="S27" s="196">
        <v>25</v>
      </c>
    </row>
    <row r="28" spans="1:19" ht="23.1" customHeight="1">
      <c r="A28" s="1916"/>
      <c r="B28" s="1949"/>
      <c r="C28" s="1945" t="s">
        <v>601</v>
      </c>
      <c r="D28" s="1930" t="s">
        <v>606</v>
      </c>
      <c r="E28" s="1931"/>
      <c r="F28" s="1932"/>
      <c r="G28" s="1932"/>
      <c r="H28" s="1932"/>
      <c r="I28" s="1932"/>
      <c r="J28" s="1932"/>
      <c r="K28" s="1933"/>
      <c r="L28" s="211" t="str">
        <f t="shared" si="3"/>
        <v>←エラー</v>
      </c>
      <c r="N28" s="196" t="b">
        <f>ISTEXT(F28)</f>
        <v>0</v>
      </c>
      <c r="S28" s="196">
        <v>26</v>
      </c>
    </row>
    <row r="29" spans="1:19" ht="23.1" customHeight="1">
      <c r="A29" s="1916"/>
      <c r="B29" s="1949"/>
      <c r="C29" s="1945"/>
      <c r="D29" s="1930" t="s">
        <v>215</v>
      </c>
      <c r="E29" s="1931"/>
      <c r="F29" s="1956"/>
      <c r="G29" s="1932"/>
      <c r="H29" s="1932"/>
      <c r="I29" s="1932"/>
      <c r="J29" s="1932"/>
      <c r="K29" s="1933"/>
      <c r="L29" s="211" t="str">
        <f>IF(N29,"","←エラー")</f>
        <v>←エラー</v>
      </c>
      <c r="N29" s="196" t="b">
        <f>ISTEXT(F29)</f>
        <v>0</v>
      </c>
      <c r="S29" s="196">
        <v>27</v>
      </c>
    </row>
    <row r="30" spans="1:19" ht="23.1" customHeight="1">
      <c r="A30" s="1950"/>
      <c r="B30" s="1951"/>
      <c r="C30" s="1943" t="s">
        <v>610</v>
      </c>
      <c r="D30" s="1943"/>
      <c r="E30" s="1944"/>
      <c r="F30" s="1903"/>
      <c r="G30" s="1903"/>
      <c r="H30" s="1903"/>
      <c r="I30" s="1903"/>
      <c r="J30" s="1903"/>
      <c r="K30" s="1904"/>
      <c r="L30" s="211" t="str">
        <f t="shared" ref="L30:L32" si="5">IF(N30,"","←エラー")</f>
        <v>←エラー</v>
      </c>
      <c r="N30" s="196" t="b">
        <f>F30=$T$4</f>
        <v>0</v>
      </c>
      <c r="S30" s="196">
        <v>28</v>
      </c>
    </row>
    <row r="31" spans="1:19" ht="23.1" customHeight="1">
      <c r="A31" s="1907" t="s">
        <v>602</v>
      </c>
      <c r="B31" s="1908"/>
      <c r="C31" s="1908"/>
      <c r="D31" s="1908"/>
      <c r="E31" s="1909"/>
      <c r="F31" s="975"/>
      <c r="G31" s="973" t="s">
        <v>9</v>
      </c>
      <c r="H31" s="976"/>
      <c r="I31" s="973" t="s">
        <v>92</v>
      </c>
      <c r="J31" s="976"/>
      <c r="K31" s="214" t="s">
        <v>548</v>
      </c>
      <c r="L31" s="211" t="str">
        <f t="shared" si="5"/>
        <v>←エラー</v>
      </c>
      <c r="N31" s="212" t="b">
        <f>IFERROR(AND(AND(F31&gt;0,H31&gt;0,J31&gt;0),DATE($Q$3,4,1)&lt;=DATE(F31,H31,J31),DATE($Q$3+1,3,31)&gt;=DATE(F31,H31,J31)),FALSE)</f>
        <v>0</v>
      </c>
      <c r="S31" s="196">
        <v>29</v>
      </c>
    </row>
    <row r="32" spans="1:19" ht="23.1" customHeight="1">
      <c r="A32" s="1907" t="s">
        <v>603</v>
      </c>
      <c r="B32" s="1908"/>
      <c r="C32" s="1908"/>
      <c r="D32" s="1908"/>
      <c r="E32" s="1909"/>
      <c r="F32" s="1932"/>
      <c r="G32" s="1932"/>
      <c r="H32" s="1932"/>
      <c r="I32" s="1932"/>
      <c r="J32" s="1932"/>
      <c r="K32" s="1933"/>
      <c r="L32" s="211" t="str">
        <f t="shared" si="5"/>
        <v>←エラー</v>
      </c>
      <c r="N32" s="196" t="b">
        <f>ISTEXT(F32)</f>
        <v>0</v>
      </c>
      <c r="S32" s="196">
        <v>30</v>
      </c>
    </row>
    <row r="33" spans="1:19" ht="23.1" customHeight="1">
      <c r="A33" s="1913" t="s">
        <v>604</v>
      </c>
      <c r="B33" s="1914"/>
      <c r="C33" s="1914"/>
      <c r="D33" s="1914"/>
      <c r="E33" s="1915"/>
      <c r="F33" s="1919"/>
      <c r="G33" s="1920"/>
      <c r="H33" s="1920"/>
      <c r="I33" s="1920"/>
      <c r="J33" s="1920"/>
      <c r="K33" s="1921"/>
      <c r="L33" s="211" t="str">
        <f>IF(N33,"","←エラー")</f>
        <v>←エラー</v>
      </c>
      <c r="N33" s="196" t="b">
        <f>ISTEXT(F33)</f>
        <v>0</v>
      </c>
      <c r="S33" s="196">
        <v>31</v>
      </c>
    </row>
    <row r="34" spans="1:19" ht="23.1" customHeight="1">
      <c r="A34" s="1916"/>
      <c r="B34" s="1917"/>
      <c r="C34" s="1917"/>
      <c r="D34" s="1917"/>
      <c r="E34" s="1918"/>
      <c r="F34" s="1922"/>
      <c r="G34" s="1923"/>
      <c r="H34" s="1923"/>
      <c r="I34" s="1923"/>
      <c r="J34" s="1923"/>
      <c r="K34" s="1924"/>
      <c r="L34" s="211"/>
    </row>
    <row r="35" spans="1:19" ht="23.1" customHeight="1">
      <c r="A35" s="1916"/>
      <c r="B35" s="1917"/>
      <c r="C35" s="1917"/>
      <c r="D35" s="1917"/>
      <c r="E35" s="1918"/>
      <c r="F35" s="1922"/>
      <c r="G35" s="1923"/>
      <c r="H35" s="1923"/>
      <c r="I35" s="1923"/>
      <c r="J35" s="1923"/>
      <c r="K35" s="1924"/>
      <c r="L35" s="211"/>
    </row>
    <row r="36" spans="1:19" ht="23.1" customHeight="1">
      <c r="A36" s="215"/>
      <c r="B36" s="1925" t="s">
        <v>624</v>
      </c>
      <c r="C36" s="1908"/>
      <c r="D36" s="1908"/>
      <c r="E36" s="1909"/>
      <c r="F36" s="1929"/>
      <c r="G36" s="1903"/>
      <c r="H36" s="1903"/>
      <c r="I36" s="1903"/>
      <c r="J36" s="1903"/>
      <c r="K36" s="1904"/>
      <c r="L36" s="211" t="str">
        <f t="shared" ref="L36:L37" si="6">IF(N36,"","←エラー")</f>
        <v>←エラー</v>
      </c>
      <c r="N36" s="196" t="b">
        <f>F36=$U$3</f>
        <v>0</v>
      </c>
    </row>
    <row r="37" spans="1:19" ht="23.1" customHeight="1" thickBot="1">
      <c r="A37" s="216"/>
      <c r="B37" s="1926" t="s">
        <v>625</v>
      </c>
      <c r="C37" s="1927"/>
      <c r="D37" s="1927"/>
      <c r="E37" s="1928"/>
      <c r="F37" s="1934"/>
      <c r="G37" s="1935"/>
      <c r="H37" s="1935"/>
      <c r="I37" s="1935"/>
      <c r="J37" s="1935"/>
      <c r="K37" s="1936"/>
      <c r="L37" s="211" t="str">
        <f t="shared" si="6"/>
        <v>←エラー</v>
      </c>
      <c r="N37" s="196" t="b">
        <f>F37=$U$3</f>
        <v>0</v>
      </c>
    </row>
  </sheetData>
  <sheetProtection algorithmName="SHA-512" hashValue="OlqNMUeBsC0q5V94v0GGX6loFWg1DFvIcNOXaxtdP6A7d817RKq88Z/CtPUmc0WBAMaCMi3WlybZW8w4xLUpHg==" saltValue="+hiH+srxG8QC7oXmiaJA7g==" spinCount="100000" sheet="1" objects="1" scenarios="1"/>
  <mergeCells count="54">
    <mergeCell ref="F20:K20"/>
    <mergeCell ref="D9:E9"/>
    <mergeCell ref="F9:H9"/>
    <mergeCell ref="I9:J9"/>
    <mergeCell ref="F17:K17"/>
    <mergeCell ref="A19:E19"/>
    <mergeCell ref="B37:E37"/>
    <mergeCell ref="F37:K37"/>
    <mergeCell ref="F29:K29"/>
    <mergeCell ref="A33:E35"/>
    <mergeCell ref="F33:K35"/>
    <mergeCell ref="B36:E36"/>
    <mergeCell ref="F36:K36"/>
    <mergeCell ref="F30:K30"/>
    <mergeCell ref="A32:E32"/>
    <mergeCell ref="F32:K32"/>
    <mergeCell ref="A27:B30"/>
    <mergeCell ref="C28:C29"/>
    <mergeCell ref="D28:E28"/>
    <mergeCell ref="C30:E30"/>
    <mergeCell ref="F28:K28"/>
    <mergeCell ref="F27:K27"/>
    <mergeCell ref="G1:K1"/>
    <mergeCell ref="C15:E15"/>
    <mergeCell ref="C18:E18"/>
    <mergeCell ref="C16:C17"/>
    <mergeCell ref="D16:E16"/>
    <mergeCell ref="D17:E17"/>
    <mergeCell ref="A12:C13"/>
    <mergeCell ref="D12:E12"/>
    <mergeCell ref="D13:E13"/>
    <mergeCell ref="A10:K10"/>
    <mergeCell ref="F12:K12"/>
    <mergeCell ref="A14:K14"/>
    <mergeCell ref="A15:B18"/>
    <mergeCell ref="F15:K15"/>
    <mergeCell ref="A5:K6"/>
    <mergeCell ref="A9:C9"/>
    <mergeCell ref="A2:L3"/>
    <mergeCell ref="F18:K18"/>
    <mergeCell ref="A7:K8"/>
    <mergeCell ref="A31:E31"/>
    <mergeCell ref="F13:K13"/>
    <mergeCell ref="A21:E23"/>
    <mergeCell ref="F21:K23"/>
    <mergeCell ref="B24:E24"/>
    <mergeCell ref="B25:E25"/>
    <mergeCell ref="F24:K24"/>
    <mergeCell ref="D29:E29"/>
    <mergeCell ref="F16:K16"/>
    <mergeCell ref="F25:K25"/>
    <mergeCell ref="A20:E20"/>
    <mergeCell ref="A26:K26"/>
    <mergeCell ref="C27:E27"/>
  </mergeCells>
  <phoneticPr fontId="1"/>
  <dataValidations count="5">
    <dataValidation type="list" allowBlank="1" showInputMessage="1" showErrorMessage="1" sqref="F11 F19 F31" xr:uid="{00000000-0002-0000-0900-000000000000}">
      <formula1>$Q$2:$Q$4</formula1>
    </dataValidation>
    <dataValidation type="list" allowBlank="1" showInputMessage="1" showErrorMessage="1" sqref="F18:K18 F30:K30" xr:uid="{00000000-0002-0000-0900-000001000000}">
      <formula1>$T$2:$T$4</formula1>
    </dataValidation>
    <dataValidation type="list" allowBlank="1" showInputMessage="1" showErrorMessage="1" sqref="F24:K25 F36:K37" xr:uid="{00000000-0002-0000-0900-000002000000}">
      <formula1>$U$2:$U$4</formula1>
    </dataValidation>
    <dataValidation type="list" allowBlank="1" showInputMessage="1" showErrorMessage="1" sqref="H11 H19 H31" xr:uid="{00000000-0002-0000-0900-000003000000}">
      <formula1>$R$2:$R$14</formula1>
    </dataValidation>
    <dataValidation type="list" allowBlank="1" showInputMessage="1" showErrorMessage="1" sqref="J19 J11 J31" xr:uid="{00000000-0002-0000-0900-000004000000}">
      <formula1>$S$2:$S$33</formula1>
    </dataValidation>
  </dataValidations>
  <pageMargins left="0.7" right="0.7" top="0.75" bottom="0.75" header="0.3" footer="0.3"/>
  <pageSetup paperSize="9" scale="8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0000"/>
    <pageSetUpPr fitToPage="1"/>
  </sheetPr>
  <dimension ref="A1:AE159"/>
  <sheetViews>
    <sheetView view="pageBreakPreview" zoomScaleNormal="85" zoomScaleSheetLayoutView="100" workbookViewId="0">
      <selection activeCell="H20" sqref="H20"/>
    </sheetView>
  </sheetViews>
  <sheetFormatPr defaultColWidth="9" defaultRowHeight="13.5" outlineLevelCol="1"/>
  <cols>
    <col min="1" max="1" width="3" style="103" customWidth="1"/>
    <col min="2" max="2" width="18.125" style="103" customWidth="1"/>
    <col min="3" max="10" width="15.625" style="103" customWidth="1"/>
    <col min="11" max="11" width="61.875" style="103" customWidth="1"/>
    <col min="12" max="12" width="6.25" style="103" hidden="1" customWidth="1" outlineLevel="1"/>
    <col min="13" max="13" width="6.5" style="146" hidden="1" customWidth="1" outlineLevel="1"/>
    <col min="14" max="14" width="7.125" style="146" hidden="1" customWidth="1" outlineLevel="1"/>
    <col min="15" max="15" width="7.5" style="103" hidden="1" customWidth="1" outlineLevel="1"/>
    <col min="16" max="17" width="9" style="103" hidden="1" customWidth="1" outlineLevel="1"/>
    <col min="18" max="18" width="9" style="195" hidden="1" customWidth="1" outlineLevel="1"/>
    <col min="19" max="26" width="9" style="103" hidden="1" customWidth="1" outlineLevel="1"/>
    <col min="27" max="27" width="12.75" style="103" hidden="1" customWidth="1" outlineLevel="1"/>
    <col min="28" max="28" width="8.75" style="103" hidden="1" customWidth="1" outlineLevel="1"/>
    <col min="29" max="29" width="14.875" style="103" hidden="1" customWidth="1" outlineLevel="1"/>
    <col min="30" max="30" width="9" style="103" hidden="1" customWidth="1" outlineLevel="1"/>
    <col min="31" max="31" width="9" style="103" customWidth="1" collapsed="1"/>
    <col min="32" max="32" width="9" style="103" customWidth="1"/>
    <col min="33" max="16384" width="9" style="103"/>
  </cols>
  <sheetData>
    <row r="1" spans="1:20" ht="15" customHeight="1">
      <c r="A1" s="694" t="s">
        <v>406</v>
      </c>
      <c r="B1" s="695"/>
      <c r="C1" s="695"/>
      <c r="D1" s="695"/>
      <c r="E1" s="695"/>
      <c r="F1" s="695"/>
      <c r="G1" s="695"/>
      <c r="H1" s="1862" t="str">
        <f>L2&amp;"様式2"&amp;L3</f>
        <v>加-25_4月申-様式2-幼_Ver.4.00</v>
      </c>
      <c r="I1" s="1862"/>
      <c r="J1" s="1862"/>
      <c r="K1" s="137"/>
      <c r="L1" s="221" t="s">
        <v>942</v>
      </c>
      <c r="M1" s="103"/>
      <c r="N1" s="103"/>
      <c r="O1" s="146"/>
      <c r="P1" s="146"/>
      <c r="Q1" s="146"/>
      <c r="S1" s="146"/>
      <c r="T1" s="146"/>
    </row>
    <row r="2" spans="1:20" ht="15" customHeight="1">
      <c r="A2" s="1999" t="str">
        <f>+【様式１】総括表・個票!AK2&amp;"年度"</f>
        <v>2025年度</v>
      </c>
      <c r="B2" s="1999"/>
      <c r="C2" s="1999"/>
      <c r="D2" s="1999"/>
      <c r="E2" s="2000" t="s">
        <v>7</v>
      </c>
      <c r="F2" s="2000"/>
      <c r="G2" s="184" t="str">
        <f>+"【"&amp;【様式１】総括表・個票!I10&amp;"月分】"</f>
        <v>【4月分】</v>
      </c>
      <c r="H2" s="694"/>
      <c r="I2" s="598"/>
      <c r="J2" s="598"/>
      <c r="K2" s="137"/>
      <c r="L2" s="221" t="str">
        <f>【様式１】総括表・個票!$AJ$2</f>
        <v>加-25_4月申-</v>
      </c>
      <c r="M2" s="103"/>
      <c r="N2" s="103"/>
      <c r="O2" s="146"/>
      <c r="P2" s="146"/>
      <c r="Q2" s="146"/>
      <c r="S2" s="146"/>
      <c r="T2" s="146"/>
    </row>
    <row r="3" spans="1:20" s="146" customFormat="1" ht="15" customHeight="1" thickBot="1">
      <c r="A3" s="696" t="s">
        <v>123</v>
      </c>
      <c r="B3" s="695"/>
      <c r="C3" s="695"/>
      <c r="D3" s="695"/>
      <c r="E3" s="695"/>
      <c r="F3" s="695"/>
      <c r="G3" s="695"/>
      <c r="H3" s="695"/>
      <c r="I3" s="695"/>
      <c r="J3" s="695"/>
      <c r="K3" s="103"/>
      <c r="L3" s="221" t="str">
        <f>【様式１】総括表・個票!$AJ$3</f>
        <v>-幼_Ver.4.00</v>
      </c>
      <c r="R3" s="195"/>
    </row>
    <row r="4" spans="1:20" s="146" customFormat="1" ht="15" customHeight="1" thickBot="1">
      <c r="A4" s="694"/>
      <c r="B4" s="2002" t="s">
        <v>636</v>
      </c>
      <c r="C4" s="2003"/>
      <c r="D4" s="2003"/>
      <c r="E4" s="2003"/>
      <c r="F4" s="2003"/>
      <c r="G4" s="2003"/>
      <c r="H4" s="2003"/>
      <c r="I4" s="2003"/>
      <c r="J4" s="2004"/>
      <c r="P4" s="195"/>
    </row>
    <row r="5" spans="1:20" s="146" customFormat="1" ht="15" customHeight="1">
      <c r="A5" s="698"/>
      <c r="B5" s="2018" t="s">
        <v>776</v>
      </c>
      <c r="C5" s="2019"/>
      <c r="D5" s="2020"/>
      <c r="E5" s="697" t="s">
        <v>637</v>
      </c>
      <c r="F5" s="2005"/>
      <c r="G5" s="2006"/>
      <c r="H5" s="2006"/>
      <c r="I5" s="2006"/>
      <c r="J5" s="1038" t="s">
        <v>691</v>
      </c>
      <c r="P5" s="195"/>
    </row>
    <row r="6" spans="1:20" s="146" customFormat="1" ht="15" customHeight="1">
      <c r="A6" s="698"/>
      <c r="B6" s="2021"/>
      <c r="C6" s="2022"/>
      <c r="D6" s="2023"/>
      <c r="E6" s="2016" t="str">
        <f>IF(AND(F5&lt;150,F5&gt;0),"根拠・理由","")</f>
        <v/>
      </c>
      <c r="F6" s="2007"/>
      <c r="G6" s="2008"/>
      <c r="H6" s="2008"/>
      <c r="I6" s="2008"/>
      <c r="J6" s="2009"/>
      <c r="P6" s="195"/>
    </row>
    <row r="7" spans="1:20" s="146" customFormat="1" ht="15" customHeight="1" thickBot="1">
      <c r="A7" s="698"/>
      <c r="B7" s="2024"/>
      <c r="C7" s="2025"/>
      <c r="D7" s="2026"/>
      <c r="E7" s="2017"/>
      <c r="F7" s="2010"/>
      <c r="G7" s="2011"/>
      <c r="H7" s="2011"/>
      <c r="I7" s="2011"/>
      <c r="J7" s="2012"/>
      <c r="P7" s="195"/>
    </row>
    <row r="8" spans="1:20" s="146" customFormat="1" ht="15" customHeight="1">
      <c r="A8" s="698"/>
      <c r="B8" s="2027" t="s">
        <v>131</v>
      </c>
      <c r="C8" s="2033" t="s">
        <v>760</v>
      </c>
      <c r="D8" s="2034"/>
      <c r="E8" s="2034"/>
      <c r="F8" s="2035"/>
      <c r="G8" s="2036" t="s">
        <v>696</v>
      </c>
      <c r="H8" s="2036"/>
      <c r="I8" s="2036"/>
      <c r="J8" s="2037"/>
    </row>
    <row r="9" spans="1:20" s="146" customFormat="1" ht="15" customHeight="1">
      <c r="A9" s="694"/>
      <c r="B9" s="2028"/>
      <c r="C9" s="2030" t="s">
        <v>699</v>
      </c>
      <c r="D9" s="2031"/>
      <c r="E9" s="2032"/>
      <c r="F9" s="2040" t="s">
        <v>791</v>
      </c>
      <c r="G9" s="916" t="s">
        <v>632</v>
      </c>
      <c r="H9" s="2038" t="s">
        <v>6</v>
      </c>
      <c r="I9" s="2039"/>
      <c r="J9" s="2014" t="s">
        <v>781</v>
      </c>
      <c r="N9" s="195"/>
    </row>
    <row r="10" spans="1:20" s="146" customFormat="1" ht="15" customHeight="1" thickBot="1">
      <c r="A10" s="694"/>
      <c r="B10" s="2029"/>
      <c r="C10" s="363" t="s">
        <v>697</v>
      </c>
      <c r="D10" s="364" t="s">
        <v>698</v>
      </c>
      <c r="E10" s="365" t="s">
        <v>4</v>
      </c>
      <c r="F10" s="2041"/>
      <c r="G10" s="917" t="s">
        <v>633</v>
      </c>
      <c r="H10" s="772" t="s">
        <v>634</v>
      </c>
      <c r="I10" s="365" t="s">
        <v>628</v>
      </c>
      <c r="J10" s="2015"/>
      <c r="N10" s="195"/>
    </row>
    <row r="11" spans="1:20" s="146" customFormat="1" ht="15" customHeight="1">
      <c r="A11" s="698"/>
      <c r="B11" s="760" t="s">
        <v>627</v>
      </c>
      <c r="C11" s="761">
        <f t="shared" ref="C11:D18" si="0">S140</f>
        <v>0</v>
      </c>
      <c r="D11" s="762">
        <f t="shared" si="0"/>
        <v>0</v>
      </c>
      <c r="E11" s="762">
        <f t="shared" ref="E11:E18" si="1">SUM(U140,V140)</f>
        <v>0</v>
      </c>
      <c r="F11" s="921">
        <f t="shared" ref="F11:F18" si="2">W140</f>
        <v>0</v>
      </c>
      <c r="G11" s="918">
        <f t="shared" ref="G11:H18" si="3">Q140</f>
        <v>0</v>
      </c>
      <c r="H11" s="1090">
        <f t="shared" si="3"/>
        <v>0</v>
      </c>
      <c r="I11" s="1039">
        <f t="shared" ref="I11:I18" si="4">IFERROR(H11/$F$5,0)</f>
        <v>0</v>
      </c>
      <c r="J11" s="763">
        <f>SUM(G11,I11)</f>
        <v>0</v>
      </c>
      <c r="N11" s="195"/>
    </row>
    <row r="12" spans="1:20" s="146" customFormat="1" ht="15" customHeight="1">
      <c r="A12" s="698"/>
      <c r="B12" s="764" t="s">
        <v>789</v>
      </c>
      <c r="C12" s="765">
        <f t="shared" si="0"/>
        <v>0</v>
      </c>
      <c r="D12" s="766">
        <f t="shared" si="0"/>
        <v>0</v>
      </c>
      <c r="E12" s="766">
        <f t="shared" si="1"/>
        <v>0</v>
      </c>
      <c r="F12" s="922">
        <f t="shared" si="2"/>
        <v>0</v>
      </c>
      <c r="G12" s="919">
        <f t="shared" si="3"/>
        <v>0</v>
      </c>
      <c r="H12" s="1091">
        <f t="shared" si="3"/>
        <v>0</v>
      </c>
      <c r="I12" s="1040">
        <f t="shared" si="4"/>
        <v>0</v>
      </c>
      <c r="J12" s="767">
        <f>SUM(G12,I12)</f>
        <v>0</v>
      </c>
      <c r="N12" s="195"/>
    </row>
    <row r="13" spans="1:20" s="146" customFormat="1" ht="15" customHeight="1">
      <c r="A13" s="698"/>
      <c r="B13" s="764" t="s">
        <v>899</v>
      </c>
      <c r="C13" s="765">
        <f t="shared" si="0"/>
        <v>0</v>
      </c>
      <c r="D13" s="766">
        <f t="shared" si="0"/>
        <v>0</v>
      </c>
      <c r="E13" s="766">
        <f t="shared" si="1"/>
        <v>0</v>
      </c>
      <c r="F13" s="922">
        <f t="shared" si="2"/>
        <v>0</v>
      </c>
      <c r="G13" s="919">
        <f t="shared" si="3"/>
        <v>0</v>
      </c>
      <c r="H13" s="1091">
        <f t="shared" si="3"/>
        <v>0</v>
      </c>
      <c r="I13" s="1040">
        <f t="shared" si="4"/>
        <v>0</v>
      </c>
      <c r="J13" s="767">
        <f>SUM(G13,I13)</f>
        <v>0</v>
      </c>
      <c r="N13" s="195"/>
    </row>
    <row r="14" spans="1:20" s="146" customFormat="1" ht="15" customHeight="1">
      <c r="A14" s="698"/>
      <c r="B14" s="764" t="s">
        <v>1153</v>
      </c>
      <c r="C14" s="765">
        <f t="shared" si="0"/>
        <v>0</v>
      </c>
      <c r="D14" s="766">
        <f t="shared" si="0"/>
        <v>0</v>
      </c>
      <c r="E14" s="766">
        <f t="shared" si="1"/>
        <v>0</v>
      </c>
      <c r="F14" s="922">
        <f t="shared" si="2"/>
        <v>0</v>
      </c>
      <c r="G14" s="919">
        <f t="shared" si="3"/>
        <v>0</v>
      </c>
      <c r="H14" s="1091">
        <f t="shared" si="3"/>
        <v>0</v>
      </c>
      <c r="I14" s="1040">
        <f t="shared" si="4"/>
        <v>0</v>
      </c>
      <c r="J14" s="767">
        <f t="shared" ref="J14:J16" si="5">SUM(G14,I14)</f>
        <v>0</v>
      </c>
      <c r="N14" s="195"/>
    </row>
    <row r="15" spans="1:20" s="146" customFormat="1" ht="15" customHeight="1">
      <c r="A15" s="698"/>
      <c r="B15" s="764" t="s">
        <v>156</v>
      </c>
      <c r="C15" s="765">
        <f t="shared" si="0"/>
        <v>0</v>
      </c>
      <c r="D15" s="766">
        <f t="shared" si="0"/>
        <v>0</v>
      </c>
      <c r="E15" s="766">
        <f t="shared" si="1"/>
        <v>0</v>
      </c>
      <c r="F15" s="922">
        <f t="shared" si="2"/>
        <v>0</v>
      </c>
      <c r="G15" s="919">
        <f t="shared" si="3"/>
        <v>0</v>
      </c>
      <c r="H15" s="1091">
        <f t="shared" si="3"/>
        <v>0</v>
      </c>
      <c r="I15" s="1040">
        <f t="shared" si="4"/>
        <v>0</v>
      </c>
      <c r="J15" s="767">
        <f t="shared" si="5"/>
        <v>0</v>
      </c>
      <c r="N15" s="195"/>
    </row>
    <row r="16" spans="1:20" s="146" customFormat="1" ht="15" customHeight="1">
      <c r="A16" s="698"/>
      <c r="B16" s="764" t="s">
        <v>631</v>
      </c>
      <c r="C16" s="765">
        <f t="shared" si="0"/>
        <v>0</v>
      </c>
      <c r="D16" s="766">
        <f t="shared" si="0"/>
        <v>0</v>
      </c>
      <c r="E16" s="766">
        <f t="shared" si="1"/>
        <v>0</v>
      </c>
      <c r="F16" s="922">
        <f t="shared" si="2"/>
        <v>0</v>
      </c>
      <c r="G16" s="919">
        <f t="shared" si="3"/>
        <v>0</v>
      </c>
      <c r="H16" s="1091">
        <f t="shared" si="3"/>
        <v>0</v>
      </c>
      <c r="I16" s="1040">
        <f t="shared" si="4"/>
        <v>0</v>
      </c>
      <c r="J16" s="767">
        <f t="shared" si="5"/>
        <v>0</v>
      </c>
      <c r="N16" s="195"/>
    </row>
    <row r="17" spans="1:30" s="146" customFormat="1" ht="15" customHeight="1">
      <c r="A17" s="698"/>
      <c r="B17" s="764" t="s">
        <v>684</v>
      </c>
      <c r="C17" s="765">
        <f t="shared" si="0"/>
        <v>0</v>
      </c>
      <c r="D17" s="766">
        <f t="shared" si="0"/>
        <v>0</v>
      </c>
      <c r="E17" s="766">
        <f t="shared" si="1"/>
        <v>0</v>
      </c>
      <c r="F17" s="922">
        <f t="shared" si="2"/>
        <v>0</v>
      </c>
      <c r="G17" s="919">
        <f t="shared" si="3"/>
        <v>0</v>
      </c>
      <c r="H17" s="1091">
        <f t="shared" si="3"/>
        <v>0</v>
      </c>
      <c r="I17" s="1040">
        <f t="shared" si="4"/>
        <v>0</v>
      </c>
      <c r="J17" s="767">
        <f t="shared" ref="J17:J18" si="6">SUM(G17,I17)</f>
        <v>0</v>
      </c>
      <c r="N17" s="195"/>
    </row>
    <row r="18" spans="1:30" s="146" customFormat="1" ht="15" customHeight="1">
      <c r="A18" s="698"/>
      <c r="B18" s="768" t="s">
        <v>4</v>
      </c>
      <c r="C18" s="769">
        <f t="shared" si="0"/>
        <v>0</v>
      </c>
      <c r="D18" s="770">
        <f t="shared" si="0"/>
        <v>0</v>
      </c>
      <c r="E18" s="770">
        <f t="shared" si="1"/>
        <v>0</v>
      </c>
      <c r="F18" s="923">
        <f t="shared" si="2"/>
        <v>0</v>
      </c>
      <c r="G18" s="920">
        <f t="shared" si="3"/>
        <v>0</v>
      </c>
      <c r="H18" s="1092">
        <f t="shared" si="3"/>
        <v>0</v>
      </c>
      <c r="I18" s="1041">
        <f t="shared" si="4"/>
        <v>0</v>
      </c>
      <c r="J18" s="771">
        <f t="shared" si="6"/>
        <v>0</v>
      </c>
    </row>
    <row r="19" spans="1:30" s="146" customFormat="1" ht="15" customHeight="1">
      <c r="A19" s="698"/>
      <c r="B19" s="1996" t="s">
        <v>790</v>
      </c>
      <c r="C19" s="1996"/>
      <c r="D19" s="1996"/>
      <c r="E19" s="1996"/>
      <c r="F19" s="1996"/>
      <c r="G19" s="1996"/>
      <c r="H19" s="1996"/>
      <c r="I19" s="1996"/>
      <c r="J19" s="1996"/>
    </row>
    <row r="20" spans="1:30" s="146" customFormat="1" ht="15" customHeight="1">
      <c r="A20" s="699" t="s">
        <v>753</v>
      </c>
      <c r="B20" s="457"/>
      <c r="C20" s="700"/>
      <c r="D20" s="700"/>
      <c r="E20" s="700"/>
      <c r="F20" s="700"/>
      <c r="G20" s="700"/>
      <c r="H20" s="701"/>
      <c r="I20" s="701"/>
      <c r="J20" s="1042"/>
      <c r="K20" s="245"/>
      <c r="L20" s="246"/>
    </row>
    <row r="21" spans="1:30" s="146" customFormat="1" ht="15" customHeight="1">
      <c r="A21" s="1998" t="s">
        <v>749</v>
      </c>
      <c r="B21" s="1998"/>
      <c r="C21" s="1998"/>
      <c r="D21" s="1998"/>
      <c r="E21" s="1998"/>
      <c r="F21" s="1998"/>
      <c r="G21" s="1998"/>
      <c r="H21" s="1998"/>
      <c r="I21" s="1998"/>
      <c r="J21" s="1998"/>
      <c r="K21" s="242"/>
      <c r="L21" s="242"/>
    </row>
    <row r="22" spans="1:30" s="146" customFormat="1" ht="15" customHeight="1">
      <c r="A22" s="1997" t="s">
        <v>978</v>
      </c>
      <c r="B22" s="1997"/>
      <c r="C22" s="1997"/>
      <c r="D22" s="1997"/>
      <c r="E22" s="1997"/>
      <c r="F22" s="1997"/>
      <c r="G22" s="1997"/>
      <c r="H22" s="1997"/>
      <c r="I22" s="1997"/>
      <c r="J22" s="1997"/>
      <c r="K22" s="242"/>
      <c r="L22" s="242"/>
    </row>
    <row r="23" spans="1:30" s="146" customFormat="1" ht="15" customHeight="1">
      <c r="A23" s="1997" t="s">
        <v>979</v>
      </c>
      <c r="B23" s="1997"/>
      <c r="C23" s="1997"/>
      <c r="D23" s="1997"/>
      <c r="E23" s="1997"/>
      <c r="F23" s="1997"/>
      <c r="G23" s="1997"/>
      <c r="H23" s="1997"/>
      <c r="I23" s="1997"/>
      <c r="J23" s="1997"/>
      <c r="K23" s="242"/>
      <c r="L23" s="242"/>
    </row>
    <row r="24" spans="1:30" s="146" customFormat="1" ht="15" customHeight="1" thickBot="1">
      <c r="A24" s="1998" t="s">
        <v>779</v>
      </c>
      <c r="B24" s="1998"/>
      <c r="C24" s="1998"/>
      <c r="D24" s="1998"/>
      <c r="E24" s="1998"/>
      <c r="F24" s="1998"/>
      <c r="G24" s="1998"/>
      <c r="H24" s="1998"/>
      <c r="I24" s="1998"/>
      <c r="J24" s="1998"/>
      <c r="K24" s="148"/>
      <c r="L24" s="148"/>
    </row>
    <row r="25" spans="1:30" s="146" customFormat="1" ht="15" customHeight="1" thickBot="1">
      <c r="A25" s="698"/>
      <c r="B25" s="601" t="s">
        <v>747</v>
      </c>
      <c r="C25" s="700"/>
      <c r="D25" s="700"/>
      <c r="E25" s="700"/>
      <c r="F25" s="701"/>
      <c r="G25" s="701"/>
      <c r="H25" s="1042"/>
      <c r="I25" s="702"/>
      <c r="J25" s="703"/>
      <c r="L25" s="1991" t="s">
        <v>655</v>
      </c>
      <c r="M25" s="1989"/>
      <c r="N25" s="1989" t="s">
        <v>529</v>
      </c>
      <c r="O25" s="1990"/>
      <c r="P25" s="195"/>
      <c r="Q25" s="1987" t="s">
        <v>657</v>
      </c>
      <c r="R25" s="1988"/>
      <c r="S25" s="1984" t="s">
        <v>321</v>
      </c>
      <c r="T25" s="1985"/>
      <c r="U25" s="1985"/>
      <c r="V25" s="1985"/>
      <c r="W25" s="1986"/>
      <c r="Y25" s="1958" t="s">
        <v>862</v>
      </c>
      <c r="Z25" s="1959"/>
      <c r="AA25" s="1959"/>
      <c r="AB25" s="1959"/>
      <c r="AC25" s="1959"/>
      <c r="AD25" s="1960"/>
    </row>
    <row r="26" spans="1:30" s="146" customFormat="1" ht="15" customHeight="1" thickBot="1">
      <c r="A26" s="1017"/>
      <c r="B26" s="601" t="s">
        <v>900</v>
      </c>
      <c r="C26" s="601"/>
      <c r="D26" s="601"/>
      <c r="E26" s="601"/>
      <c r="F26" s="601"/>
      <c r="G26" s="601"/>
      <c r="H26" s="601"/>
      <c r="I26" s="601"/>
      <c r="J26" s="601"/>
      <c r="L26" s="984" t="s">
        <v>656</v>
      </c>
      <c r="M26" s="982" t="s">
        <v>6</v>
      </c>
      <c r="N26" s="982" t="s">
        <v>530</v>
      </c>
      <c r="O26" s="983" t="s">
        <v>531</v>
      </c>
      <c r="P26" s="195"/>
      <c r="Q26" s="248"/>
      <c r="R26" s="983" t="s">
        <v>743</v>
      </c>
      <c r="S26" s="249"/>
      <c r="T26" s="250"/>
      <c r="U26" s="250"/>
      <c r="V26" s="250"/>
      <c r="W26" s="313"/>
      <c r="Y26" s="1043" t="s">
        <v>782</v>
      </c>
      <c r="Z26" s="1044" t="s">
        <v>783</v>
      </c>
      <c r="AA26" s="1045" t="s">
        <v>784</v>
      </c>
      <c r="AB26" s="1046" t="s">
        <v>5</v>
      </c>
      <c r="AC26" s="1046" t="s">
        <v>6</v>
      </c>
      <c r="AD26" s="1047" t="s">
        <v>785</v>
      </c>
    </row>
    <row r="27" spans="1:30" s="146" customFormat="1" ht="15" customHeight="1">
      <c r="A27" s="2001" t="s">
        <v>741</v>
      </c>
      <c r="B27" s="1972"/>
      <c r="C27" s="1971" t="s">
        <v>118</v>
      </c>
      <c r="D27" s="1972"/>
      <c r="E27" s="1971" t="s">
        <v>777</v>
      </c>
      <c r="F27" s="1973"/>
      <c r="G27" s="1972"/>
      <c r="H27" s="977" t="s">
        <v>778</v>
      </c>
      <c r="I27" s="1971" t="s">
        <v>18</v>
      </c>
      <c r="J27" s="1979" t="s">
        <v>676</v>
      </c>
      <c r="L27" s="228" t="str">
        <f>$Z28</f>
        <v>有給</v>
      </c>
      <c r="M27" s="227" t="s">
        <v>743</v>
      </c>
      <c r="N27" s="227"/>
      <c r="O27" s="251" t="s">
        <v>739</v>
      </c>
      <c r="P27" s="195"/>
      <c r="Q27" s="252"/>
      <c r="R27" s="253"/>
      <c r="S27" s="254"/>
      <c r="T27" s="255"/>
      <c r="U27" s="255"/>
      <c r="V27" s="255"/>
      <c r="W27" s="314"/>
      <c r="Y27" s="795"/>
      <c r="Z27" s="796"/>
      <c r="AA27" s="796"/>
      <c r="AB27" s="797"/>
      <c r="AC27" s="797"/>
      <c r="AD27" s="798" t="s">
        <v>117</v>
      </c>
    </row>
    <row r="28" spans="1:30" s="146" customFormat="1" ht="15" customHeight="1">
      <c r="A28" s="1961" t="s">
        <v>653</v>
      </c>
      <c r="B28" s="1963" t="s">
        <v>740</v>
      </c>
      <c r="C28" s="1967" t="s">
        <v>226</v>
      </c>
      <c r="D28" s="1969" t="s">
        <v>772</v>
      </c>
      <c r="E28" s="2013" t="s">
        <v>739</v>
      </c>
      <c r="F28" s="1982" t="s">
        <v>742</v>
      </c>
      <c r="G28" s="1992" t="s">
        <v>751</v>
      </c>
      <c r="H28" s="1994" t="str">
        <f>"("&amp;TEXT($AD$28,"YYYY/M/D")&amp;"以前)"</f>
        <v>(2025/4/1以前)</v>
      </c>
      <c r="I28" s="1974"/>
      <c r="J28" s="1980"/>
      <c r="L28" s="223"/>
      <c r="M28" s="243"/>
      <c r="N28" s="243"/>
      <c r="O28" s="231"/>
      <c r="P28" s="195"/>
      <c r="Q28" s="257"/>
      <c r="R28" s="231"/>
      <c r="S28" s="258"/>
      <c r="T28" s="259"/>
      <c r="U28" s="259"/>
      <c r="V28" s="259"/>
      <c r="W28" s="315"/>
      <c r="Y28" s="289" t="s">
        <v>627</v>
      </c>
      <c r="Z28" s="290" t="s">
        <v>121</v>
      </c>
      <c r="AA28" s="290" t="s">
        <v>115</v>
      </c>
      <c r="AB28" s="583" t="s">
        <v>157</v>
      </c>
      <c r="AC28" s="582" t="s">
        <v>757</v>
      </c>
      <c r="AD28" s="581">
        <f>DATE(【様式１】総括表・個票!$D$10,【様式１】総括表・個票!$I$10,1)</f>
        <v>45748</v>
      </c>
    </row>
    <row r="29" spans="1:30" ht="15" customHeight="1" thickBot="1">
      <c r="A29" s="1962"/>
      <c r="B29" s="1964"/>
      <c r="C29" s="1968"/>
      <c r="D29" s="1970"/>
      <c r="E29" s="1968"/>
      <c r="F29" s="1983"/>
      <c r="G29" s="1993"/>
      <c r="H29" s="1995"/>
      <c r="I29" s="1975"/>
      <c r="J29" s="1981"/>
      <c r="K29" s="146"/>
      <c r="L29" s="224"/>
      <c r="M29" s="225"/>
      <c r="N29" s="225"/>
      <c r="O29" s="260"/>
      <c r="P29" s="195"/>
      <c r="Q29" s="261"/>
      <c r="R29" s="260"/>
      <c r="S29" s="262"/>
      <c r="T29" s="263"/>
      <c r="U29" s="263"/>
      <c r="V29" s="263"/>
      <c r="W29" s="316"/>
      <c r="X29" s="146"/>
      <c r="Y29" s="792" t="s">
        <v>894</v>
      </c>
      <c r="Z29" s="291" t="s">
        <v>654</v>
      </c>
      <c r="AA29" s="290" t="s">
        <v>116</v>
      </c>
      <c r="AB29" s="583" t="s">
        <v>158</v>
      </c>
      <c r="AC29" s="583" t="s">
        <v>648</v>
      </c>
      <c r="AD29" s="295"/>
    </row>
    <row r="30" spans="1:30" ht="15" customHeight="1">
      <c r="A30" s="704">
        <f>ROW()-ROW($A$29)</f>
        <v>1</v>
      </c>
      <c r="B30" s="362"/>
      <c r="C30" s="1048" t="s">
        <v>113</v>
      </c>
      <c r="D30" s="345"/>
      <c r="E30" s="1048" t="str">
        <f>IF($D30="有給","委託","")</f>
        <v/>
      </c>
      <c r="F30" s="1049" t="str">
        <f>IF(G30&gt;0,"要添付書類➡","-")</f>
        <v>-</v>
      </c>
      <c r="G30" s="1054"/>
      <c r="H30" s="346"/>
      <c r="I30" s="347"/>
      <c r="J30" s="782" t="str">
        <f t="shared" ref="J30:J34" si="7">IF(L30,IF(OR(O30,N30),"エラー",C30),"-")</f>
        <v>-</v>
      </c>
      <c r="K30" s="146"/>
      <c r="L30" s="265" t="b">
        <f t="shared" ref="L30:L34" si="8">$D30=$L$27</f>
        <v>0</v>
      </c>
      <c r="M30" s="266">
        <f>IF($E30&lt;&gt;$M$27,0,COUNTIF($E30:E$30,$M$27))</f>
        <v>0</v>
      </c>
      <c r="N30" s="266" t="b">
        <f>$H30&gt;$H$28</f>
        <v>0</v>
      </c>
      <c r="O30" s="267" t="b">
        <f t="shared" ref="O30:O34" si="9">OR(B30=0,C30=0,E30=0,AND($E30=O$27,OR($G30=0,ISTEXT($G30))),$H30=0)</f>
        <v>1</v>
      </c>
      <c r="P30" s="195"/>
      <c r="Q30" s="268"/>
      <c r="R30" s="269">
        <f>IF($E30=R$26,$G30,0)</f>
        <v>0</v>
      </c>
      <c r="S30" s="268"/>
      <c r="T30" s="270"/>
      <c r="U30" s="270"/>
      <c r="V30" s="270"/>
      <c r="W30" s="317"/>
      <c r="X30" s="146"/>
      <c r="Y30" s="294" t="s">
        <v>113</v>
      </c>
      <c r="Z30" s="291" t="s">
        <v>122</v>
      </c>
      <c r="AA30" s="290"/>
      <c r="AB30" s="583" t="s">
        <v>649</v>
      </c>
      <c r="AC30" s="583" t="s">
        <v>651</v>
      </c>
      <c r="AD30" s="295"/>
    </row>
    <row r="31" spans="1:30" ht="15" customHeight="1" thickBot="1">
      <c r="A31" s="705">
        <f t="shared" ref="A31:A34" si="10">ROW()-ROW($A$29)</f>
        <v>2</v>
      </c>
      <c r="B31" s="360"/>
      <c r="C31" s="1050" t="s">
        <v>1154</v>
      </c>
      <c r="D31" s="244"/>
      <c r="E31" s="1050" t="str">
        <f t="shared" ref="E31:E34" si="11">IF($D31="有給","委託","")</f>
        <v/>
      </c>
      <c r="F31" s="1051" t="str">
        <f t="shared" ref="F31:F34" si="12">IF(G31&gt;0,"要添付書類➡","-")</f>
        <v>-</v>
      </c>
      <c r="G31" s="1055"/>
      <c r="H31" s="161"/>
      <c r="I31" s="343"/>
      <c r="J31" s="783" t="str">
        <f t="shared" si="7"/>
        <v>-</v>
      </c>
      <c r="K31" s="146"/>
      <c r="L31" s="271" t="b">
        <f t="shared" si="8"/>
        <v>0</v>
      </c>
      <c r="M31" s="272">
        <f>IF($E31&lt;&gt;$M$27,0,COUNTIF($E$30:E31,$M$27))</f>
        <v>0</v>
      </c>
      <c r="N31" s="272" t="b">
        <f t="shared" ref="N31:N34" si="13">$H31&gt;$H$28</f>
        <v>0</v>
      </c>
      <c r="O31" s="273" t="b">
        <f t="shared" si="9"/>
        <v>1</v>
      </c>
      <c r="P31" s="195"/>
      <c r="Q31" s="274"/>
      <c r="R31" s="275">
        <f>IF($E31=R$36,$G31,0)</f>
        <v>0</v>
      </c>
      <c r="S31" s="274"/>
      <c r="T31" s="277"/>
      <c r="U31" s="277"/>
      <c r="V31" s="278"/>
      <c r="W31" s="318"/>
      <c r="X31" s="146"/>
      <c r="Y31" s="294" t="s">
        <v>114</v>
      </c>
      <c r="Z31" s="291"/>
      <c r="AA31" s="187"/>
      <c r="AB31" s="584" t="s">
        <v>650</v>
      </c>
      <c r="AC31" s="584" t="s">
        <v>650</v>
      </c>
      <c r="AD31" s="295"/>
    </row>
    <row r="32" spans="1:30" ht="15" customHeight="1" thickTop="1">
      <c r="A32" s="705">
        <f t="shared" si="10"/>
        <v>3</v>
      </c>
      <c r="B32" s="360"/>
      <c r="C32" s="1050" t="s">
        <v>744</v>
      </c>
      <c r="D32" s="244"/>
      <c r="E32" s="1050" t="str">
        <f t="shared" si="11"/>
        <v/>
      </c>
      <c r="F32" s="1051" t="str">
        <f t="shared" si="12"/>
        <v>-</v>
      </c>
      <c r="G32" s="1055"/>
      <c r="H32" s="161"/>
      <c r="I32" s="343"/>
      <c r="J32" s="783" t="str">
        <f t="shared" si="7"/>
        <v>-</v>
      </c>
      <c r="K32" s="146"/>
      <c r="L32" s="271" t="b">
        <f t="shared" si="8"/>
        <v>0</v>
      </c>
      <c r="M32" s="272">
        <f>IF($E32&lt;&gt;$M$27,0,COUNTIF($E$30:E32,$M$27))</f>
        <v>0</v>
      </c>
      <c r="N32" s="272" t="b">
        <f t="shared" si="13"/>
        <v>0</v>
      </c>
      <c r="O32" s="273" t="b">
        <f t="shared" si="9"/>
        <v>1</v>
      </c>
      <c r="P32" s="195"/>
      <c r="Q32" s="274"/>
      <c r="R32" s="275">
        <f>IF($E32=R$36,$G32,0)</f>
        <v>0</v>
      </c>
      <c r="S32" s="274"/>
      <c r="T32" s="277"/>
      <c r="U32" s="277"/>
      <c r="V32" s="278"/>
      <c r="W32" s="318"/>
      <c r="X32" s="146"/>
      <c r="Y32" s="294" t="s">
        <v>1153</v>
      </c>
      <c r="Z32" s="291"/>
      <c r="AA32" s="187"/>
      <c r="AB32" s="1976" t="s">
        <v>861</v>
      </c>
      <c r="AC32" s="1976"/>
      <c r="AD32" s="295"/>
    </row>
    <row r="33" spans="1:30" ht="15" customHeight="1">
      <c r="A33" s="705">
        <f t="shared" si="10"/>
        <v>4</v>
      </c>
      <c r="B33" s="360"/>
      <c r="C33" s="1050" t="s">
        <v>745</v>
      </c>
      <c r="D33" s="244"/>
      <c r="E33" s="1050" t="str">
        <f t="shared" si="11"/>
        <v/>
      </c>
      <c r="F33" s="1051" t="str">
        <f t="shared" si="12"/>
        <v>-</v>
      </c>
      <c r="G33" s="1055"/>
      <c r="H33" s="161"/>
      <c r="I33" s="343"/>
      <c r="J33" s="783" t="str">
        <f t="shared" si="7"/>
        <v>-</v>
      </c>
      <c r="K33" s="146"/>
      <c r="L33" s="271" t="b">
        <f t="shared" si="8"/>
        <v>0</v>
      </c>
      <c r="M33" s="272">
        <f>IF($E33&lt;&gt;$M$27,0,COUNTIF($E$30:E33,$M$27))</f>
        <v>0</v>
      </c>
      <c r="N33" s="272" t="b">
        <f t="shared" si="13"/>
        <v>0</v>
      </c>
      <c r="O33" s="273" t="b">
        <f t="shared" si="9"/>
        <v>1</v>
      </c>
      <c r="P33" s="195"/>
      <c r="Q33" s="274"/>
      <c r="R33" s="275">
        <f>IF($E33=R$36,$G33,0)</f>
        <v>0</v>
      </c>
      <c r="S33" s="274"/>
      <c r="T33" s="277"/>
      <c r="U33" s="277"/>
      <c r="V33" s="278"/>
      <c r="W33" s="318"/>
      <c r="Y33" s="294" t="s">
        <v>156</v>
      </c>
      <c r="Z33" s="291"/>
      <c r="AA33" s="187"/>
      <c r="AB33" s="1977"/>
      <c r="AC33" s="1977"/>
      <c r="AD33" s="295"/>
    </row>
    <row r="34" spans="1:30" ht="15" customHeight="1" thickBot="1">
      <c r="A34" s="706">
        <f t="shared" si="10"/>
        <v>5</v>
      </c>
      <c r="B34" s="361"/>
      <c r="C34" s="1052" t="s">
        <v>746</v>
      </c>
      <c r="D34" s="339"/>
      <c r="E34" s="1052" t="str">
        <f t="shared" si="11"/>
        <v/>
      </c>
      <c r="F34" s="1053" t="str">
        <f t="shared" si="12"/>
        <v>-</v>
      </c>
      <c r="G34" s="1056"/>
      <c r="H34" s="342"/>
      <c r="I34" s="344"/>
      <c r="J34" s="784" t="str">
        <f t="shared" si="7"/>
        <v>-</v>
      </c>
      <c r="K34" s="146"/>
      <c r="L34" s="280" t="b">
        <f t="shared" si="8"/>
        <v>0</v>
      </c>
      <c r="M34" s="281">
        <f>IF($E34&lt;&gt;$M$27,0,COUNTIF($E$30:E34,$M$27))</f>
        <v>0</v>
      </c>
      <c r="N34" s="281" t="b">
        <f t="shared" si="13"/>
        <v>0</v>
      </c>
      <c r="O34" s="282" t="b">
        <f t="shared" si="9"/>
        <v>1</v>
      </c>
      <c r="P34" s="195"/>
      <c r="Q34" s="283"/>
      <c r="R34" s="284">
        <f>IF($E34=R$36,$G34,0)</f>
        <v>0</v>
      </c>
      <c r="S34" s="283"/>
      <c r="T34" s="286"/>
      <c r="U34" s="286"/>
      <c r="V34" s="287"/>
      <c r="W34" s="319"/>
      <c r="Y34" s="232" t="s">
        <v>202</v>
      </c>
      <c r="Z34" s="187"/>
      <c r="AA34" s="187"/>
      <c r="AB34" s="1977"/>
      <c r="AC34" s="1977"/>
      <c r="AD34" s="295"/>
    </row>
    <row r="35" spans="1:30" ht="15" customHeight="1" thickBot="1">
      <c r="A35" s="594"/>
      <c r="B35" s="308" t="s">
        <v>748</v>
      </c>
      <c r="C35" s="594"/>
      <c r="D35" s="594"/>
      <c r="E35" s="594"/>
      <c r="F35" s="594"/>
      <c r="G35" s="594"/>
      <c r="H35" s="594"/>
      <c r="I35" s="594"/>
      <c r="J35" s="594"/>
      <c r="K35" s="323"/>
      <c r="M35" s="103"/>
      <c r="N35" s="103"/>
      <c r="R35" s="103"/>
      <c r="Y35" s="232" t="s">
        <v>684</v>
      </c>
      <c r="Z35" s="794"/>
      <c r="AA35" s="187"/>
      <c r="AB35" s="1977"/>
      <c r="AC35" s="1977"/>
      <c r="AD35" s="295"/>
    </row>
    <row r="36" spans="1:30" ht="15" customHeight="1" thickBot="1">
      <c r="A36" s="600"/>
      <c r="B36" s="707" t="s">
        <v>750</v>
      </c>
      <c r="C36" s="707"/>
      <c r="D36" s="707"/>
      <c r="E36" s="707"/>
      <c r="F36" s="707"/>
      <c r="G36" s="707"/>
      <c r="H36" s="707"/>
      <c r="I36" s="707"/>
      <c r="J36" s="707"/>
      <c r="K36" s="323"/>
      <c r="L36" s="984" t="s">
        <v>656</v>
      </c>
      <c r="M36" s="982" t="s">
        <v>6</v>
      </c>
      <c r="N36" s="982" t="s">
        <v>530</v>
      </c>
      <c r="O36" s="983" t="s">
        <v>531</v>
      </c>
      <c r="P36" s="195"/>
      <c r="Q36" s="327" t="str">
        <f>AA28</f>
        <v>常勤</v>
      </c>
      <c r="R36" s="328" t="str">
        <f>AA29</f>
        <v>非常勤</v>
      </c>
      <c r="S36" s="329" t="str">
        <f>AA28</f>
        <v>常勤</v>
      </c>
      <c r="T36" s="330" t="str">
        <f>S36</f>
        <v>常勤</v>
      </c>
      <c r="U36" s="330" t="str">
        <f>T36</f>
        <v>常勤</v>
      </c>
      <c r="V36" s="330" t="str">
        <f>U36</f>
        <v>常勤</v>
      </c>
      <c r="W36" s="331" t="str">
        <f>AA29</f>
        <v>非常勤</v>
      </c>
      <c r="Y36" s="793" t="s">
        <v>203</v>
      </c>
      <c r="Z36" s="799"/>
      <c r="AA36" s="799"/>
      <c r="AB36" s="1978"/>
      <c r="AC36" s="1978"/>
      <c r="AD36" s="800"/>
    </row>
    <row r="37" spans="1:30" ht="15" customHeight="1">
      <c r="A37" s="2001" t="s">
        <v>462</v>
      </c>
      <c r="B37" s="1972"/>
      <c r="C37" s="1971" t="s">
        <v>118</v>
      </c>
      <c r="D37" s="1972"/>
      <c r="E37" s="1971" t="s">
        <v>777</v>
      </c>
      <c r="F37" s="1973"/>
      <c r="G37" s="1972"/>
      <c r="H37" s="977" t="s">
        <v>780</v>
      </c>
      <c r="I37" s="1971" t="s">
        <v>18</v>
      </c>
      <c r="J37" s="1979" t="s">
        <v>676</v>
      </c>
      <c r="K37" s="323"/>
      <c r="L37" s="228" t="str">
        <f>$Z28</f>
        <v>有給</v>
      </c>
      <c r="M37" s="227" t="str">
        <f>$AA$29</f>
        <v>非常勤</v>
      </c>
      <c r="N37" s="227"/>
      <c r="O37" s="251" t="str">
        <f>$AA$29</f>
        <v>非常勤</v>
      </c>
      <c r="P37" s="195"/>
      <c r="Q37" s="288"/>
      <c r="R37" s="253"/>
      <c r="S37" s="332" t="str">
        <f>AB28</f>
        <v>正職</v>
      </c>
      <c r="T37" s="333" t="str">
        <f>AB29</f>
        <v>臨職</v>
      </c>
      <c r="U37" s="333" t="str">
        <f>AB30</f>
        <v>派遣契約</v>
      </c>
      <c r="V37" s="333" t="str">
        <f>AB31</f>
        <v>嘱託契約</v>
      </c>
      <c r="W37" s="256"/>
    </row>
    <row r="38" spans="1:30" ht="15" customHeight="1">
      <c r="A38" s="1961" t="s">
        <v>653</v>
      </c>
      <c r="B38" s="1963">
        <f>COUNTA(B40:B139)</f>
        <v>0</v>
      </c>
      <c r="C38" s="1967" t="s">
        <v>226</v>
      </c>
      <c r="D38" s="1969" t="s">
        <v>124</v>
      </c>
      <c r="E38" s="1965" t="s">
        <v>771</v>
      </c>
      <c r="F38" s="1982" t="s">
        <v>652</v>
      </c>
      <c r="G38" s="1992" t="str">
        <f>IF(SUM($G$40:$G$139)&lt;&gt;【様式３】シフト表!$AK$107,"エラー：シフト表と不一致","非常勤の勤務時間/月")</f>
        <v>非常勤の勤務時間/月</v>
      </c>
      <c r="H38" s="1994" t="str">
        <f>"("&amp;TEXT($AD$28,"YYYY/M/D")&amp;"以前)"</f>
        <v>(2025/4/1以前)</v>
      </c>
      <c r="I38" s="1974"/>
      <c r="J38" s="1980"/>
      <c r="K38" s="323"/>
      <c r="L38" s="223"/>
      <c r="M38" s="292"/>
      <c r="N38" s="243"/>
      <c r="O38" s="231"/>
      <c r="P38" s="195"/>
      <c r="Q38" s="223"/>
      <c r="R38" s="231"/>
      <c r="S38" s="293"/>
      <c r="T38" s="220"/>
      <c r="U38" s="220"/>
      <c r="V38" s="220"/>
      <c r="W38" s="222"/>
    </row>
    <row r="39" spans="1:30" ht="15" customHeight="1" thickBot="1">
      <c r="A39" s="1962"/>
      <c r="B39" s="1964"/>
      <c r="C39" s="1968"/>
      <c r="D39" s="1970"/>
      <c r="E39" s="1966"/>
      <c r="F39" s="1983"/>
      <c r="G39" s="1993"/>
      <c r="H39" s="1995"/>
      <c r="I39" s="1975"/>
      <c r="J39" s="1981"/>
      <c r="K39" s="323"/>
      <c r="L39" s="224"/>
      <c r="M39" s="225"/>
      <c r="N39" s="225"/>
      <c r="O39" s="260"/>
      <c r="P39" s="195"/>
      <c r="Q39" s="224"/>
      <c r="R39" s="260"/>
      <c r="S39" s="296"/>
      <c r="T39" s="297"/>
      <c r="U39" s="297"/>
      <c r="V39" s="297"/>
      <c r="W39" s="264"/>
    </row>
    <row r="40" spans="1:30" ht="15" customHeight="1">
      <c r="A40" s="704">
        <f>ROW()-ROW($A$39)</f>
        <v>1</v>
      </c>
      <c r="B40" s="359"/>
      <c r="C40" s="348"/>
      <c r="D40" s="349"/>
      <c r="E40" s="348"/>
      <c r="F40" s="350"/>
      <c r="G40" s="708">
        <f>IFERROR(INDEX(【様式３】シフト表!$AK$7:$AK$106,MATCH($M40,【様式３】シフト表!$B$7:$B$106,0),1),0)</f>
        <v>0</v>
      </c>
      <c r="H40" s="351"/>
      <c r="I40" s="352"/>
      <c r="J40" s="785" t="str">
        <f>IF(L40,IF(OR(O40,N40),"エラー",IF($C40=$Y$29,$Y$30,C40)),"-")</f>
        <v>-</v>
      </c>
      <c r="K40" s="321"/>
      <c r="L40" s="265" t="b">
        <f t="shared" ref="L40:L71" si="14">$D40=$L$37</f>
        <v>0</v>
      </c>
      <c r="M40" s="266">
        <f>IF($E40&lt;&gt;$M$37,0,COUNTIF($E$40:E40,$M$37))</f>
        <v>0</v>
      </c>
      <c r="N40" s="266" t="b">
        <f t="shared" ref="N40:N71" si="15">OR($H40&gt;$H$38,AND($E40=$AA$28,$F40&lt;&gt;$AB$28,$F40&lt;&gt;$AB$29,$F40&lt;&gt;$AB$30,$F40&lt;&gt;$AB$31),AND($E40=$AA$29,$F40&lt;&gt;$AC$28,$F40&lt;&gt;$AC$29,$F40&lt;&gt;$AC$30,$F40&lt;&gt;$AC$31))</f>
        <v>0</v>
      </c>
      <c r="O40" s="267" t="b">
        <f t="shared" ref="O40:O71" si="16">OR($B40=0,$C40=0,$E40=0,AND($E40&lt;&gt;0,$F40=0),AND($E40=O$37,$G40=0),$H40=0)</f>
        <v>1</v>
      </c>
      <c r="P40" s="195"/>
      <c r="Q40" s="298">
        <f t="shared" ref="Q40:Q71" si="17">IF($E40=Q$36,1,0)</f>
        <v>0</v>
      </c>
      <c r="R40" s="269">
        <f t="shared" ref="R40:R71" si="18">IF($E40=R$36,$G40,0)</f>
        <v>0</v>
      </c>
      <c r="S40" s="298">
        <f t="shared" ref="S40:V59" si="19">IF(AND($E40=S$36,$F40=S$37),$J40,0)</f>
        <v>0</v>
      </c>
      <c r="T40" s="299">
        <f t="shared" si="19"/>
        <v>0</v>
      </c>
      <c r="U40" s="299">
        <f t="shared" si="19"/>
        <v>0</v>
      </c>
      <c r="V40" s="300">
        <f t="shared" si="19"/>
        <v>0</v>
      </c>
      <c r="W40" s="269">
        <f t="shared" ref="W40:W71" si="20">IF($E40=W$36,$J40,0)</f>
        <v>0</v>
      </c>
    </row>
    <row r="41" spans="1:30" ht="15" customHeight="1">
      <c r="A41" s="705">
        <f>A40+1</f>
        <v>2</v>
      </c>
      <c r="B41" s="360"/>
      <c r="C41" s="218"/>
      <c r="D41" s="244"/>
      <c r="E41" s="218"/>
      <c r="F41" s="219"/>
      <c r="G41" s="709">
        <f>IFERROR(INDEX(【様式３】シフト表!$AK$7:$AK$106,MATCH($M41,【様式３】シフト表!$B$7:$B$106,0),1),0)</f>
        <v>0</v>
      </c>
      <c r="H41" s="161"/>
      <c r="I41" s="343"/>
      <c r="J41" s="783" t="str">
        <f t="shared" ref="J41:J104" si="21">IF(L41,IF(OR(O41,N41),"エラー",IF($C41=$Y$29,$Y$30,C41)),"-")</f>
        <v>-</v>
      </c>
      <c r="K41" s="321"/>
      <c r="L41" s="271" t="b">
        <f t="shared" si="14"/>
        <v>0</v>
      </c>
      <c r="M41" s="272">
        <f>IF($E41&lt;&gt;$M$37,0,COUNTIF($E$40:E41,$M$37))</f>
        <v>0</v>
      </c>
      <c r="N41" s="272" t="b">
        <f t="shared" si="15"/>
        <v>0</v>
      </c>
      <c r="O41" s="273" t="b">
        <f t="shared" si="16"/>
        <v>1</v>
      </c>
      <c r="P41" s="195"/>
      <c r="Q41" s="301">
        <f t="shared" si="17"/>
        <v>0</v>
      </c>
      <c r="R41" s="275">
        <f t="shared" si="18"/>
        <v>0</v>
      </c>
      <c r="S41" s="301">
        <f t="shared" si="19"/>
        <v>0</v>
      </c>
      <c r="T41" s="275">
        <f t="shared" si="19"/>
        <v>0</v>
      </c>
      <c r="U41" s="275">
        <f t="shared" si="19"/>
        <v>0</v>
      </c>
      <c r="V41" s="302">
        <f t="shared" si="19"/>
        <v>0</v>
      </c>
      <c r="W41" s="279">
        <f t="shared" si="20"/>
        <v>0</v>
      </c>
    </row>
    <row r="42" spans="1:30" ht="15" customHeight="1">
      <c r="A42" s="705">
        <f t="shared" ref="A42:A105" si="22">A41+1</f>
        <v>3</v>
      </c>
      <c r="B42" s="360"/>
      <c r="C42" s="218"/>
      <c r="D42" s="244"/>
      <c r="E42" s="218"/>
      <c r="F42" s="219"/>
      <c r="G42" s="709">
        <f>IFERROR(INDEX(【様式３】シフト表!$AK$7:$AK$106,MATCH($M42,【様式３】シフト表!$B$7:$B$106,0),1),0)</f>
        <v>0</v>
      </c>
      <c r="H42" s="161"/>
      <c r="I42" s="343"/>
      <c r="J42" s="783" t="str">
        <f t="shared" si="21"/>
        <v>-</v>
      </c>
      <c r="K42" s="321"/>
      <c r="L42" s="271" t="b">
        <f t="shared" si="14"/>
        <v>0</v>
      </c>
      <c r="M42" s="272">
        <f>IF($E42&lt;&gt;$M$37,0,COUNTIF($E$40:E42,$M$37))</f>
        <v>0</v>
      </c>
      <c r="N42" s="272" t="b">
        <f t="shared" si="15"/>
        <v>0</v>
      </c>
      <c r="O42" s="273" t="b">
        <f t="shared" si="16"/>
        <v>1</v>
      </c>
      <c r="P42" s="195"/>
      <c r="Q42" s="301">
        <f t="shared" si="17"/>
        <v>0</v>
      </c>
      <c r="R42" s="275">
        <f t="shared" si="18"/>
        <v>0</v>
      </c>
      <c r="S42" s="301">
        <f t="shared" si="19"/>
        <v>0</v>
      </c>
      <c r="T42" s="275">
        <f t="shared" si="19"/>
        <v>0</v>
      </c>
      <c r="U42" s="275">
        <f t="shared" si="19"/>
        <v>0</v>
      </c>
      <c r="V42" s="302">
        <f t="shared" si="19"/>
        <v>0</v>
      </c>
      <c r="W42" s="279">
        <f t="shared" si="20"/>
        <v>0</v>
      </c>
    </row>
    <row r="43" spans="1:30" ht="15" customHeight="1">
      <c r="A43" s="705">
        <f t="shared" si="22"/>
        <v>4</v>
      </c>
      <c r="B43" s="360"/>
      <c r="C43" s="218"/>
      <c r="D43" s="244"/>
      <c r="E43" s="218"/>
      <c r="F43" s="219"/>
      <c r="G43" s="709">
        <f>IFERROR(INDEX(【様式３】シフト表!$AK$7:$AK$106,MATCH($M43,【様式３】シフト表!$B$7:$B$106,0),1),0)</f>
        <v>0</v>
      </c>
      <c r="H43" s="161"/>
      <c r="I43" s="343"/>
      <c r="J43" s="783" t="str">
        <f t="shared" si="21"/>
        <v>-</v>
      </c>
      <c r="K43" s="321"/>
      <c r="L43" s="271" t="b">
        <f t="shared" si="14"/>
        <v>0</v>
      </c>
      <c r="M43" s="272">
        <f>IF($E43&lt;&gt;$M$37,0,COUNTIF($E$40:E43,$M$37))</f>
        <v>0</v>
      </c>
      <c r="N43" s="272" t="b">
        <f t="shared" si="15"/>
        <v>0</v>
      </c>
      <c r="O43" s="273" t="b">
        <f t="shared" si="16"/>
        <v>1</v>
      </c>
      <c r="P43" s="195"/>
      <c r="Q43" s="301">
        <f t="shared" si="17"/>
        <v>0</v>
      </c>
      <c r="R43" s="275">
        <f t="shared" si="18"/>
        <v>0</v>
      </c>
      <c r="S43" s="301">
        <f t="shared" si="19"/>
        <v>0</v>
      </c>
      <c r="T43" s="275">
        <f t="shared" si="19"/>
        <v>0</v>
      </c>
      <c r="U43" s="275">
        <f t="shared" si="19"/>
        <v>0</v>
      </c>
      <c r="V43" s="302">
        <f t="shared" si="19"/>
        <v>0</v>
      </c>
      <c r="W43" s="279">
        <f t="shared" si="20"/>
        <v>0</v>
      </c>
    </row>
    <row r="44" spans="1:30" ht="15" customHeight="1">
      <c r="A44" s="705">
        <f t="shared" si="22"/>
        <v>5</v>
      </c>
      <c r="B44" s="360"/>
      <c r="C44" s="218"/>
      <c r="D44" s="244"/>
      <c r="E44" s="218"/>
      <c r="F44" s="219"/>
      <c r="G44" s="709">
        <f>IFERROR(INDEX(【様式３】シフト表!$AK$7:$AK$106,MATCH($M44,【様式３】シフト表!$B$7:$B$106,0),1),0)</f>
        <v>0</v>
      </c>
      <c r="H44" s="161"/>
      <c r="I44" s="343"/>
      <c r="J44" s="783" t="str">
        <f t="shared" si="21"/>
        <v>-</v>
      </c>
      <c r="K44" s="321"/>
      <c r="L44" s="271" t="b">
        <f t="shared" si="14"/>
        <v>0</v>
      </c>
      <c r="M44" s="272">
        <f>IF($E44&lt;&gt;$M$37,0,COUNTIF($E$40:E44,$M$37))</f>
        <v>0</v>
      </c>
      <c r="N44" s="272" t="b">
        <f t="shared" si="15"/>
        <v>0</v>
      </c>
      <c r="O44" s="273" t="b">
        <f t="shared" si="16"/>
        <v>1</v>
      </c>
      <c r="P44" s="195"/>
      <c r="Q44" s="301">
        <f t="shared" si="17"/>
        <v>0</v>
      </c>
      <c r="R44" s="275">
        <f t="shared" si="18"/>
        <v>0</v>
      </c>
      <c r="S44" s="301">
        <f t="shared" si="19"/>
        <v>0</v>
      </c>
      <c r="T44" s="275">
        <f t="shared" si="19"/>
        <v>0</v>
      </c>
      <c r="U44" s="275">
        <f t="shared" si="19"/>
        <v>0</v>
      </c>
      <c r="V44" s="302">
        <f t="shared" si="19"/>
        <v>0</v>
      </c>
      <c r="W44" s="279">
        <f t="shared" si="20"/>
        <v>0</v>
      </c>
    </row>
    <row r="45" spans="1:30" ht="15" customHeight="1">
      <c r="A45" s="705">
        <f t="shared" si="22"/>
        <v>6</v>
      </c>
      <c r="B45" s="360"/>
      <c r="C45" s="218"/>
      <c r="D45" s="244"/>
      <c r="E45" s="218"/>
      <c r="F45" s="219"/>
      <c r="G45" s="709">
        <f>IFERROR(INDEX(【様式３】シフト表!$AK$7:$AK$106,MATCH($M45,【様式３】シフト表!$B$7:$B$106,0),1),0)</f>
        <v>0</v>
      </c>
      <c r="H45" s="161"/>
      <c r="I45" s="343"/>
      <c r="J45" s="783" t="str">
        <f t="shared" si="21"/>
        <v>-</v>
      </c>
      <c r="K45" s="321"/>
      <c r="L45" s="271" t="b">
        <f t="shared" si="14"/>
        <v>0</v>
      </c>
      <c r="M45" s="272">
        <f>IF($E45&lt;&gt;$M$37,0,COUNTIF($E$40:E45,$M$37))</f>
        <v>0</v>
      </c>
      <c r="N45" s="272" t="b">
        <f t="shared" si="15"/>
        <v>0</v>
      </c>
      <c r="O45" s="273" t="b">
        <f t="shared" si="16"/>
        <v>1</v>
      </c>
      <c r="P45" s="195"/>
      <c r="Q45" s="301">
        <f t="shared" si="17"/>
        <v>0</v>
      </c>
      <c r="R45" s="275">
        <f t="shared" si="18"/>
        <v>0</v>
      </c>
      <c r="S45" s="301">
        <f t="shared" si="19"/>
        <v>0</v>
      </c>
      <c r="T45" s="275">
        <f t="shared" si="19"/>
        <v>0</v>
      </c>
      <c r="U45" s="275">
        <f t="shared" si="19"/>
        <v>0</v>
      </c>
      <c r="V45" s="302">
        <f t="shared" si="19"/>
        <v>0</v>
      </c>
      <c r="W45" s="279">
        <f t="shared" si="20"/>
        <v>0</v>
      </c>
    </row>
    <row r="46" spans="1:30" ht="15" customHeight="1">
      <c r="A46" s="705">
        <f t="shared" si="22"/>
        <v>7</v>
      </c>
      <c r="B46" s="360"/>
      <c r="C46" s="218"/>
      <c r="D46" s="244"/>
      <c r="E46" s="218"/>
      <c r="F46" s="219"/>
      <c r="G46" s="709">
        <f>IFERROR(INDEX(【様式３】シフト表!$AK$7:$AK$106,MATCH($M46,【様式３】シフト表!$B$7:$B$106,0),1),0)</f>
        <v>0</v>
      </c>
      <c r="H46" s="161"/>
      <c r="I46" s="343"/>
      <c r="J46" s="783" t="str">
        <f t="shared" si="21"/>
        <v>-</v>
      </c>
      <c r="K46" s="321"/>
      <c r="L46" s="271" t="b">
        <f t="shared" si="14"/>
        <v>0</v>
      </c>
      <c r="M46" s="272">
        <f>IF($E46&lt;&gt;$M$37,0,COUNTIF($E$40:E46,$M$37))</f>
        <v>0</v>
      </c>
      <c r="N46" s="272" t="b">
        <f t="shared" si="15"/>
        <v>0</v>
      </c>
      <c r="O46" s="273" t="b">
        <f t="shared" si="16"/>
        <v>1</v>
      </c>
      <c r="P46" s="195"/>
      <c r="Q46" s="301">
        <f t="shared" si="17"/>
        <v>0</v>
      </c>
      <c r="R46" s="275">
        <f t="shared" si="18"/>
        <v>0</v>
      </c>
      <c r="S46" s="301">
        <f t="shared" si="19"/>
        <v>0</v>
      </c>
      <c r="T46" s="275">
        <f t="shared" si="19"/>
        <v>0</v>
      </c>
      <c r="U46" s="275">
        <f t="shared" si="19"/>
        <v>0</v>
      </c>
      <c r="V46" s="302">
        <f t="shared" si="19"/>
        <v>0</v>
      </c>
      <c r="W46" s="279">
        <f t="shared" si="20"/>
        <v>0</v>
      </c>
    </row>
    <row r="47" spans="1:30" ht="15" customHeight="1">
      <c r="A47" s="705">
        <f t="shared" si="22"/>
        <v>8</v>
      </c>
      <c r="B47" s="360"/>
      <c r="C47" s="218"/>
      <c r="D47" s="244"/>
      <c r="E47" s="218"/>
      <c r="F47" s="219"/>
      <c r="G47" s="709">
        <f>IFERROR(INDEX(【様式３】シフト表!$AK$7:$AK$106,MATCH($M47,【様式３】シフト表!$B$7:$B$106,0),1),0)</f>
        <v>0</v>
      </c>
      <c r="H47" s="161"/>
      <c r="I47" s="343"/>
      <c r="J47" s="783" t="str">
        <f t="shared" si="21"/>
        <v>-</v>
      </c>
      <c r="K47" s="321"/>
      <c r="L47" s="271" t="b">
        <f t="shared" si="14"/>
        <v>0</v>
      </c>
      <c r="M47" s="272">
        <f>IF($E47&lt;&gt;$M$37,0,COUNTIF($E$40:E47,$M$37))</f>
        <v>0</v>
      </c>
      <c r="N47" s="272" t="b">
        <f t="shared" si="15"/>
        <v>0</v>
      </c>
      <c r="O47" s="273" t="b">
        <f t="shared" si="16"/>
        <v>1</v>
      </c>
      <c r="P47" s="195"/>
      <c r="Q47" s="301">
        <f t="shared" si="17"/>
        <v>0</v>
      </c>
      <c r="R47" s="275">
        <f t="shared" si="18"/>
        <v>0</v>
      </c>
      <c r="S47" s="301">
        <f t="shared" si="19"/>
        <v>0</v>
      </c>
      <c r="T47" s="275">
        <f t="shared" si="19"/>
        <v>0</v>
      </c>
      <c r="U47" s="275">
        <f t="shared" si="19"/>
        <v>0</v>
      </c>
      <c r="V47" s="302">
        <f t="shared" si="19"/>
        <v>0</v>
      </c>
      <c r="W47" s="279">
        <f t="shared" si="20"/>
        <v>0</v>
      </c>
      <c r="Z47" s="147"/>
    </row>
    <row r="48" spans="1:30" ht="15" customHeight="1">
      <c r="A48" s="705">
        <f t="shared" si="22"/>
        <v>9</v>
      </c>
      <c r="B48" s="360"/>
      <c r="C48" s="218"/>
      <c r="D48" s="244"/>
      <c r="E48" s="218"/>
      <c r="F48" s="219"/>
      <c r="G48" s="709">
        <f>IFERROR(INDEX(【様式３】シフト表!$AK$7:$AK$106,MATCH($M48,【様式３】シフト表!$B$7:$B$106,0),1),0)</f>
        <v>0</v>
      </c>
      <c r="H48" s="161"/>
      <c r="I48" s="343"/>
      <c r="J48" s="783" t="str">
        <f t="shared" si="21"/>
        <v>-</v>
      </c>
      <c r="K48" s="321"/>
      <c r="L48" s="271" t="b">
        <f t="shared" si="14"/>
        <v>0</v>
      </c>
      <c r="M48" s="272">
        <f>IF($E48&lt;&gt;$M$37,0,COUNTIF($E$40:E48,$M$37))</f>
        <v>0</v>
      </c>
      <c r="N48" s="272" t="b">
        <f t="shared" si="15"/>
        <v>0</v>
      </c>
      <c r="O48" s="273" t="b">
        <f t="shared" si="16"/>
        <v>1</v>
      </c>
      <c r="P48" s="195"/>
      <c r="Q48" s="301">
        <f t="shared" si="17"/>
        <v>0</v>
      </c>
      <c r="R48" s="275">
        <f t="shared" si="18"/>
        <v>0</v>
      </c>
      <c r="S48" s="301">
        <f t="shared" si="19"/>
        <v>0</v>
      </c>
      <c r="T48" s="275">
        <f t="shared" si="19"/>
        <v>0</v>
      </c>
      <c r="U48" s="275">
        <f t="shared" si="19"/>
        <v>0</v>
      </c>
      <c r="V48" s="302">
        <f t="shared" si="19"/>
        <v>0</v>
      </c>
      <c r="W48" s="279">
        <f t="shared" si="20"/>
        <v>0</v>
      </c>
      <c r="Z48" s="147"/>
    </row>
    <row r="49" spans="1:26" ht="15" customHeight="1">
      <c r="A49" s="705">
        <f t="shared" si="22"/>
        <v>10</v>
      </c>
      <c r="B49" s="360"/>
      <c r="C49" s="218"/>
      <c r="D49" s="244"/>
      <c r="E49" s="218"/>
      <c r="F49" s="219"/>
      <c r="G49" s="709">
        <f>IFERROR(INDEX(【様式３】シフト表!$AK$7:$AK$106,MATCH($M49,【様式３】シフト表!$B$7:$B$106,0),1),0)</f>
        <v>0</v>
      </c>
      <c r="H49" s="161"/>
      <c r="I49" s="343"/>
      <c r="J49" s="783" t="str">
        <f t="shared" si="21"/>
        <v>-</v>
      </c>
      <c r="K49" s="321"/>
      <c r="L49" s="271" t="b">
        <f t="shared" si="14"/>
        <v>0</v>
      </c>
      <c r="M49" s="272">
        <f>IF($E49&lt;&gt;$M$37,0,COUNTIF($E$40:E49,$M$37))</f>
        <v>0</v>
      </c>
      <c r="N49" s="272" t="b">
        <f t="shared" si="15"/>
        <v>0</v>
      </c>
      <c r="O49" s="273" t="b">
        <f t="shared" si="16"/>
        <v>1</v>
      </c>
      <c r="P49" s="195"/>
      <c r="Q49" s="301">
        <f t="shared" si="17"/>
        <v>0</v>
      </c>
      <c r="R49" s="275">
        <f t="shared" si="18"/>
        <v>0</v>
      </c>
      <c r="S49" s="301">
        <f t="shared" si="19"/>
        <v>0</v>
      </c>
      <c r="T49" s="275">
        <f t="shared" si="19"/>
        <v>0</v>
      </c>
      <c r="U49" s="275">
        <f t="shared" si="19"/>
        <v>0</v>
      </c>
      <c r="V49" s="302">
        <f t="shared" si="19"/>
        <v>0</v>
      </c>
      <c r="W49" s="279">
        <f t="shared" si="20"/>
        <v>0</v>
      </c>
      <c r="X49" s="147"/>
      <c r="Y49" s="147"/>
      <c r="Z49" s="147"/>
    </row>
    <row r="50" spans="1:26" ht="15" customHeight="1">
      <c r="A50" s="705">
        <f t="shared" si="22"/>
        <v>11</v>
      </c>
      <c r="B50" s="360"/>
      <c r="C50" s="218"/>
      <c r="D50" s="244"/>
      <c r="E50" s="218"/>
      <c r="F50" s="219"/>
      <c r="G50" s="709">
        <f>IFERROR(INDEX(【様式３】シフト表!$AK$7:$AK$106,MATCH($M50,【様式３】シフト表!$B$7:$B$106,0),1),0)</f>
        <v>0</v>
      </c>
      <c r="H50" s="161"/>
      <c r="I50" s="343"/>
      <c r="J50" s="783" t="str">
        <f t="shared" si="21"/>
        <v>-</v>
      </c>
      <c r="K50" s="321"/>
      <c r="L50" s="271" t="b">
        <f t="shared" si="14"/>
        <v>0</v>
      </c>
      <c r="M50" s="272">
        <f>IF($E50&lt;&gt;$M$37,0,COUNTIF($E$40:E50,$M$37))</f>
        <v>0</v>
      </c>
      <c r="N50" s="272" t="b">
        <f t="shared" si="15"/>
        <v>0</v>
      </c>
      <c r="O50" s="273" t="b">
        <f t="shared" si="16"/>
        <v>1</v>
      </c>
      <c r="P50" s="195"/>
      <c r="Q50" s="301">
        <f t="shared" si="17"/>
        <v>0</v>
      </c>
      <c r="R50" s="275">
        <f t="shared" si="18"/>
        <v>0</v>
      </c>
      <c r="S50" s="301">
        <f t="shared" si="19"/>
        <v>0</v>
      </c>
      <c r="T50" s="275">
        <f t="shared" si="19"/>
        <v>0</v>
      </c>
      <c r="U50" s="275">
        <f t="shared" si="19"/>
        <v>0</v>
      </c>
      <c r="V50" s="302">
        <f t="shared" si="19"/>
        <v>0</v>
      </c>
      <c r="W50" s="279">
        <f t="shared" si="20"/>
        <v>0</v>
      </c>
      <c r="X50" s="147"/>
      <c r="Y50" s="147"/>
      <c r="Z50" s="147"/>
    </row>
    <row r="51" spans="1:26" ht="15" customHeight="1">
      <c r="A51" s="705">
        <f t="shared" si="22"/>
        <v>12</v>
      </c>
      <c r="B51" s="360"/>
      <c r="C51" s="218"/>
      <c r="D51" s="244"/>
      <c r="E51" s="218"/>
      <c r="F51" s="219"/>
      <c r="G51" s="709">
        <f>IFERROR(INDEX(【様式３】シフト表!$AK$7:$AK$106,MATCH($M51,【様式３】シフト表!$B$7:$B$106,0),1),0)</f>
        <v>0</v>
      </c>
      <c r="H51" s="161"/>
      <c r="I51" s="343"/>
      <c r="J51" s="783" t="str">
        <f t="shared" si="21"/>
        <v>-</v>
      </c>
      <c r="K51" s="321"/>
      <c r="L51" s="271" t="b">
        <f t="shared" si="14"/>
        <v>0</v>
      </c>
      <c r="M51" s="272">
        <f>IF($E51&lt;&gt;$M$37,0,COUNTIF($E$40:E51,$M$37))</f>
        <v>0</v>
      </c>
      <c r="N51" s="272" t="b">
        <f t="shared" si="15"/>
        <v>0</v>
      </c>
      <c r="O51" s="273" t="b">
        <f t="shared" si="16"/>
        <v>1</v>
      </c>
      <c r="P51" s="195"/>
      <c r="Q51" s="301">
        <f t="shared" si="17"/>
        <v>0</v>
      </c>
      <c r="R51" s="275">
        <f t="shared" si="18"/>
        <v>0</v>
      </c>
      <c r="S51" s="301">
        <f t="shared" si="19"/>
        <v>0</v>
      </c>
      <c r="T51" s="275">
        <f t="shared" si="19"/>
        <v>0</v>
      </c>
      <c r="U51" s="275">
        <f t="shared" si="19"/>
        <v>0</v>
      </c>
      <c r="V51" s="302">
        <f t="shared" si="19"/>
        <v>0</v>
      </c>
      <c r="W51" s="279">
        <f t="shared" si="20"/>
        <v>0</v>
      </c>
      <c r="X51" s="147"/>
      <c r="Y51" s="147"/>
      <c r="Z51" s="147"/>
    </row>
    <row r="52" spans="1:26" ht="15" customHeight="1">
      <c r="A52" s="705">
        <f t="shared" si="22"/>
        <v>13</v>
      </c>
      <c r="B52" s="360"/>
      <c r="C52" s="218"/>
      <c r="D52" s="244"/>
      <c r="E52" s="218"/>
      <c r="F52" s="219"/>
      <c r="G52" s="709">
        <f>IFERROR(INDEX(【様式３】シフト表!$AK$7:$AK$106,MATCH($M52,【様式３】シフト表!$B$7:$B$106,0),1),0)</f>
        <v>0</v>
      </c>
      <c r="H52" s="161"/>
      <c r="I52" s="343"/>
      <c r="J52" s="783" t="str">
        <f t="shared" si="21"/>
        <v>-</v>
      </c>
      <c r="K52" s="321"/>
      <c r="L52" s="271" t="b">
        <f t="shared" si="14"/>
        <v>0</v>
      </c>
      <c r="M52" s="272">
        <f>IF($E52&lt;&gt;$M$37,0,COUNTIF($E$40:E52,$M$37))</f>
        <v>0</v>
      </c>
      <c r="N52" s="272" t="b">
        <f t="shared" si="15"/>
        <v>0</v>
      </c>
      <c r="O52" s="273" t="b">
        <f t="shared" si="16"/>
        <v>1</v>
      </c>
      <c r="P52" s="195"/>
      <c r="Q52" s="301">
        <f t="shared" si="17"/>
        <v>0</v>
      </c>
      <c r="R52" s="275">
        <f t="shared" si="18"/>
        <v>0</v>
      </c>
      <c r="S52" s="301">
        <f t="shared" si="19"/>
        <v>0</v>
      </c>
      <c r="T52" s="275">
        <f t="shared" si="19"/>
        <v>0</v>
      </c>
      <c r="U52" s="275">
        <f t="shared" si="19"/>
        <v>0</v>
      </c>
      <c r="V52" s="302">
        <f t="shared" si="19"/>
        <v>0</v>
      </c>
      <c r="W52" s="279">
        <f t="shared" si="20"/>
        <v>0</v>
      </c>
      <c r="X52" s="147"/>
      <c r="Y52" s="147"/>
      <c r="Z52" s="147"/>
    </row>
    <row r="53" spans="1:26" ht="15" customHeight="1">
      <c r="A53" s="705">
        <f t="shared" si="22"/>
        <v>14</v>
      </c>
      <c r="B53" s="360"/>
      <c r="C53" s="218"/>
      <c r="D53" s="244"/>
      <c r="E53" s="218"/>
      <c r="F53" s="219"/>
      <c r="G53" s="709">
        <f>IFERROR(INDEX(【様式３】シフト表!$AK$7:$AK$106,MATCH($M53,【様式３】シフト表!$B$7:$B$106,0),1),0)</f>
        <v>0</v>
      </c>
      <c r="H53" s="161"/>
      <c r="I53" s="343"/>
      <c r="J53" s="783" t="str">
        <f t="shared" si="21"/>
        <v>-</v>
      </c>
      <c r="K53" s="321"/>
      <c r="L53" s="271" t="b">
        <f t="shared" si="14"/>
        <v>0</v>
      </c>
      <c r="M53" s="272">
        <f>IF($E53&lt;&gt;$M$37,0,COUNTIF($E$40:E53,$M$37))</f>
        <v>0</v>
      </c>
      <c r="N53" s="272" t="b">
        <f t="shared" si="15"/>
        <v>0</v>
      </c>
      <c r="O53" s="273" t="b">
        <f t="shared" si="16"/>
        <v>1</v>
      </c>
      <c r="P53" s="195"/>
      <c r="Q53" s="301">
        <f t="shared" si="17"/>
        <v>0</v>
      </c>
      <c r="R53" s="275">
        <f t="shared" si="18"/>
        <v>0</v>
      </c>
      <c r="S53" s="301">
        <f t="shared" si="19"/>
        <v>0</v>
      </c>
      <c r="T53" s="275">
        <f t="shared" si="19"/>
        <v>0</v>
      </c>
      <c r="U53" s="275">
        <f t="shared" si="19"/>
        <v>0</v>
      </c>
      <c r="V53" s="302">
        <f t="shared" si="19"/>
        <v>0</v>
      </c>
      <c r="W53" s="279">
        <f t="shared" si="20"/>
        <v>0</v>
      </c>
      <c r="X53" s="147"/>
      <c r="Y53" s="147"/>
      <c r="Z53" s="147"/>
    </row>
    <row r="54" spans="1:26" ht="15" customHeight="1">
      <c r="A54" s="705">
        <f t="shared" si="22"/>
        <v>15</v>
      </c>
      <c r="B54" s="360"/>
      <c r="C54" s="218"/>
      <c r="D54" s="244"/>
      <c r="E54" s="218"/>
      <c r="F54" s="219"/>
      <c r="G54" s="709">
        <f>IFERROR(INDEX(【様式３】シフト表!$AK$7:$AK$106,MATCH($M54,【様式３】シフト表!$B$7:$B$106,0),1),0)</f>
        <v>0</v>
      </c>
      <c r="H54" s="161"/>
      <c r="I54" s="343"/>
      <c r="J54" s="783" t="str">
        <f t="shared" si="21"/>
        <v>-</v>
      </c>
      <c r="K54" s="321"/>
      <c r="L54" s="271" t="b">
        <f t="shared" si="14"/>
        <v>0</v>
      </c>
      <c r="M54" s="272">
        <f>IF($E54&lt;&gt;$M$37,0,COUNTIF($E$40:E54,$M$37))</f>
        <v>0</v>
      </c>
      <c r="N54" s="272" t="b">
        <f t="shared" si="15"/>
        <v>0</v>
      </c>
      <c r="O54" s="273" t="b">
        <f t="shared" si="16"/>
        <v>1</v>
      </c>
      <c r="P54" s="195"/>
      <c r="Q54" s="301">
        <f t="shared" si="17"/>
        <v>0</v>
      </c>
      <c r="R54" s="275">
        <f t="shared" si="18"/>
        <v>0</v>
      </c>
      <c r="S54" s="301">
        <f t="shared" si="19"/>
        <v>0</v>
      </c>
      <c r="T54" s="275">
        <f t="shared" si="19"/>
        <v>0</v>
      </c>
      <c r="U54" s="275">
        <f t="shared" si="19"/>
        <v>0</v>
      </c>
      <c r="V54" s="302">
        <f t="shared" si="19"/>
        <v>0</v>
      </c>
      <c r="W54" s="279">
        <f t="shared" si="20"/>
        <v>0</v>
      </c>
      <c r="X54" s="147"/>
      <c r="Y54" s="147"/>
      <c r="Z54" s="147"/>
    </row>
    <row r="55" spans="1:26" ht="15" customHeight="1">
      <c r="A55" s="705">
        <f t="shared" si="22"/>
        <v>16</v>
      </c>
      <c r="B55" s="360"/>
      <c r="C55" s="218"/>
      <c r="D55" s="244"/>
      <c r="E55" s="218"/>
      <c r="F55" s="219"/>
      <c r="G55" s="709">
        <f>IFERROR(INDEX(【様式３】シフト表!$AK$7:$AK$106,MATCH($M55,【様式３】シフト表!$B$7:$B$106,0),1),0)</f>
        <v>0</v>
      </c>
      <c r="H55" s="161"/>
      <c r="I55" s="343"/>
      <c r="J55" s="783" t="str">
        <f t="shared" si="21"/>
        <v>-</v>
      </c>
      <c r="K55" s="321"/>
      <c r="L55" s="271" t="b">
        <f t="shared" si="14"/>
        <v>0</v>
      </c>
      <c r="M55" s="272">
        <f>IF($E55&lt;&gt;$M$37,0,COUNTIF($E$40:E55,$M$37))</f>
        <v>0</v>
      </c>
      <c r="N55" s="272" t="b">
        <f t="shared" si="15"/>
        <v>0</v>
      </c>
      <c r="O55" s="273" t="b">
        <f t="shared" si="16"/>
        <v>1</v>
      </c>
      <c r="P55" s="195"/>
      <c r="Q55" s="301">
        <f t="shared" si="17"/>
        <v>0</v>
      </c>
      <c r="R55" s="275">
        <f t="shared" si="18"/>
        <v>0</v>
      </c>
      <c r="S55" s="301">
        <f t="shared" si="19"/>
        <v>0</v>
      </c>
      <c r="T55" s="275">
        <f t="shared" si="19"/>
        <v>0</v>
      </c>
      <c r="U55" s="275">
        <f t="shared" si="19"/>
        <v>0</v>
      </c>
      <c r="V55" s="302">
        <f t="shared" si="19"/>
        <v>0</v>
      </c>
      <c r="W55" s="279">
        <f t="shared" si="20"/>
        <v>0</v>
      </c>
      <c r="X55" s="147"/>
      <c r="Y55" s="147"/>
      <c r="Z55" s="147"/>
    </row>
    <row r="56" spans="1:26" ht="15" customHeight="1">
      <c r="A56" s="705">
        <f t="shared" si="22"/>
        <v>17</v>
      </c>
      <c r="B56" s="360"/>
      <c r="C56" s="218"/>
      <c r="D56" s="244"/>
      <c r="E56" s="218"/>
      <c r="F56" s="219"/>
      <c r="G56" s="709">
        <f>IFERROR(INDEX(【様式３】シフト表!$AK$7:$AK$106,MATCH($M56,【様式３】シフト表!$B$7:$B$106,0),1),0)</f>
        <v>0</v>
      </c>
      <c r="H56" s="161"/>
      <c r="I56" s="343"/>
      <c r="J56" s="783" t="str">
        <f t="shared" si="21"/>
        <v>-</v>
      </c>
      <c r="K56" s="321"/>
      <c r="L56" s="271" t="b">
        <f t="shared" si="14"/>
        <v>0</v>
      </c>
      <c r="M56" s="272">
        <f>IF($E56&lt;&gt;$M$37,0,COUNTIF($E$40:E56,$M$37))</f>
        <v>0</v>
      </c>
      <c r="N56" s="272" t="b">
        <f t="shared" si="15"/>
        <v>0</v>
      </c>
      <c r="O56" s="273" t="b">
        <f t="shared" si="16"/>
        <v>1</v>
      </c>
      <c r="P56" s="195"/>
      <c r="Q56" s="301">
        <f t="shared" si="17"/>
        <v>0</v>
      </c>
      <c r="R56" s="275">
        <f t="shared" si="18"/>
        <v>0</v>
      </c>
      <c r="S56" s="301">
        <f t="shared" si="19"/>
        <v>0</v>
      </c>
      <c r="T56" s="275">
        <f t="shared" si="19"/>
        <v>0</v>
      </c>
      <c r="U56" s="275">
        <f t="shared" si="19"/>
        <v>0</v>
      </c>
      <c r="V56" s="302">
        <f t="shared" si="19"/>
        <v>0</v>
      </c>
      <c r="W56" s="279">
        <f t="shared" si="20"/>
        <v>0</v>
      </c>
      <c r="X56" s="147"/>
      <c r="Y56" s="147"/>
      <c r="Z56" s="147"/>
    </row>
    <row r="57" spans="1:26" ht="15" customHeight="1">
      <c r="A57" s="705">
        <f t="shared" si="22"/>
        <v>18</v>
      </c>
      <c r="B57" s="360"/>
      <c r="C57" s="218"/>
      <c r="D57" s="244"/>
      <c r="E57" s="218"/>
      <c r="F57" s="219"/>
      <c r="G57" s="709">
        <f>IFERROR(INDEX(【様式３】シフト表!$AK$7:$AK$106,MATCH($M57,【様式３】シフト表!$B$7:$B$106,0),1),0)</f>
        <v>0</v>
      </c>
      <c r="H57" s="161"/>
      <c r="I57" s="343"/>
      <c r="J57" s="783" t="str">
        <f t="shared" si="21"/>
        <v>-</v>
      </c>
      <c r="K57" s="321"/>
      <c r="L57" s="271" t="b">
        <f t="shared" si="14"/>
        <v>0</v>
      </c>
      <c r="M57" s="272">
        <f>IF($E57&lt;&gt;$M$37,0,COUNTIF($E$40:E57,$M$37))</f>
        <v>0</v>
      </c>
      <c r="N57" s="272" t="b">
        <f t="shared" si="15"/>
        <v>0</v>
      </c>
      <c r="O57" s="273" t="b">
        <f t="shared" si="16"/>
        <v>1</v>
      </c>
      <c r="P57" s="195"/>
      <c r="Q57" s="301">
        <f t="shared" si="17"/>
        <v>0</v>
      </c>
      <c r="R57" s="275">
        <f t="shared" si="18"/>
        <v>0</v>
      </c>
      <c r="S57" s="301">
        <f t="shared" si="19"/>
        <v>0</v>
      </c>
      <c r="T57" s="275">
        <f t="shared" si="19"/>
        <v>0</v>
      </c>
      <c r="U57" s="275">
        <f t="shared" si="19"/>
        <v>0</v>
      </c>
      <c r="V57" s="302">
        <f t="shared" si="19"/>
        <v>0</v>
      </c>
      <c r="W57" s="279">
        <f t="shared" si="20"/>
        <v>0</v>
      </c>
      <c r="X57" s="147"/>
      <c r="Y57" s="147"/>
      <c r="Z57" s="147"/>
    </row>
    <row r="58" spans="1:26" ht="15" customHeight="1">
      <c r="A58" s="705">
        <f t="shared" si="22"/>
        <v>19</v>
      </c>
      <c r="B58" s="360"/>
      <c r="C58" s="218"/>
      <c r="D58" s="244"/>
      <c r="E58" s="218"/>
      <c r="F58" s="219"/>
      <c r="G58" s="709">
        <f>IFERROR(INDEX(【様式３】シフト表!$AK$7:$AK$106,MATCH($M58,【様式３】シフト表!$B$7:$B$106,0),1),0)</f>
        <v>0</v>
      </c>
      <c r="H58" s="161"/>
      <c r="I58" s="343"/>
      <c r="J58" s="783" t="str">
        <f t="shared" si="21"/>
        <v>-</v>
      </c>
      <c r="K58" s="321"/>
      <c r="L58" s="271" t="b">
        <f t="shared" si="14"/>
        <v>0</v>
      </c>
      <c r="M58" s="272">
        <f>IF($E58&lt;&gt;$M$37,0,COUNTIF($E$40:E58,$M$37))</f>
        <v>0</v>
      </c>
      <c r="N58" s="272" t="b">
        <f t="shared" si="15"/>
        <v>0</v>
      </c>
      <c r="O58" s="273" t="b">
        <f t="shared" si="16"/>
        <v>1</v>
      </c>
      <c r="P58" s="195"/>
      <c r="Q58" s="301">
        <f t="shared" si="17"/>
        <v>0</v>
      </c>
      <c r="R58" s="275">
        <f t="shared" si="18"/>
        <v>0</v>
      </c>
      <c r="S58" s="301">
        <f t="shared" si="19"/>
        <v>0</v>
      </c>
      <c r="T58" s="275">
        <f t="shared" si="19"/>
        <v>0</v>
      </c>
      <c r="U58" s="275">
        <f t="shared" si="19"/>
        <v>0</v>
      </c>
      <c r="V58" s="302">
        <f t="shared" si="19"/>
        <v>0</v>
      </c>
      <c r="W58" s="279">
        <f t="shared" si="20"/>
        <v>0</v>
      </c>
      <c r="X58" s="147"/>
      <c r="Y58" s="147"/>
      <c r="Z58" s="147"/>
    </row>
    <row r="59" spans="1:26" ht="15" customHeight="1">
      <c r="A59" s="705">
        <f t="shared" si="22"/>
        <v>20</v>
      </c>
      <c r="B59" s="360"/>
      <c r="C59" s="218"/>
      <c r="D59" s="244"/>
      <c r="E59" s="218"/>
      <c r="F59" s="219"/>
      <c r="G59" s="709">
        <f>IFERROR(INDEX(【様式３】シフト表!$AK$7:$AK$106,MATCH($M59,【様式３】シフト表!$B$7:$B$106,0),1),0)</f>
        <v>0</v>
      </c>
      <c r="H59" s="161"/>
      <c r="I59" s="343"/>
      <c r="J59" s="783" t="str">
        <f t="shared" si="21"/>
        <v>-</v>
      </c>
      <c r="K59" s="321"/>
      <c r="L59" s="271" t="b">
        <f t="shared" si="14"/>
        <v>0</v>
      </c>
      <c r="M59" s="272">
        <f>IF($E59&lt;&gt;$M$37,0,COUNTIF($E$40:E59,$M$37))</f>
        <v>0</v>
      </c>
      <c r="N59" s="272" t="b">
        <f t="shared" si="15"/>
        <v>0</v>
      </c>
      <c r="O59" s="273" t="b">
        <f t="shared" si="16"/>
        <v>1</v>
      </c>
      <c r="P59" s="195"/>
      <c r="Q59" s="301">
        <f t="shared" si="17"/>
        <v>0</v>
      </c>
      <c r="R59" s="275">
        <f t="shared" si="18"/>
        <v>0</v>
      </c>
      <c r="S59" s="301">
        <f t="shared" si="19"/>
        <v>0</v>
      </c>
      <c r="T59" s="275">
        <f t="shared" si="19"/>
        <v>0</v>
      </c>
      <c r="U59" s="275">
        <f t="shared" si="19"/>
        <v>0</v>
      </c>
      <c r="V59" s="302">
        <f t="shared" si="19"/>
        <v>0</v>
      </c>
      <c r="W59" s="279">
        <f t="shared" si="20"/>
        <v>0</v>
      </c>
      <c r="X59" s="147"/>
      <c r="Y59" s="147"/>
      <c r="Z59" s="147"/>
    </row>
    <row r="60" spans="1:26" ht="15" customHeight="1">
      <c r="A60" s="705">
        <f t="shared" si="22"/>
        <v>21</v>
      </c>
      <c r="B60" s="360"/>
      <c r="C60" s="218"/>
      <c r="D60" s="244"/>
      <c r="E60" s="218"/>
      <c r="F60" s="219"/>
      <c r="G60" s="709">
        <f>IFERROR(INDEX(【様式３】シフト表!$AK$7:$AK$106,MATCH($M60,【様式３】シフト表!$B$7:$B$106,0),1),0)</f>
        <v>0</v>
      </c>
      <c r="H60" s="161"/>
      <c r="I60" s="343"/>
      <c r="J60" s="783" t="str">
        <f t="shared" si="21"/>
        <v>-</v>
      </c>
      <c r="K60" s="321"/>
      <c r="L60" s="271" t="b">
        <f t="shared" si="14"/>
        <v>0</v>
      </c>
      <c r="M60" s="272">
        <f>IF($E60&lt;&gt;$M$37,0,COUNTIF($E$40:E60,$M$37))</f>
        <v>0</v>
      </c>
      <c r="N60" s="272" t="b">
        <f t="shared" si="15"/>
        <v>0</v>
      </c>
      <c r="O60" s="273" t="b">
        <f t="shared" si="16"/>
        <v>1</v>
      </c>
      <c r="P60" s="195"/>
      <c r="Q60" s="301">
        <f t="shared" si="17"/>
        <v>0</v>
      </c>
      <c r="R60" s="275">
        <f t="shared" si="18"/>
        <v>0</v>
      </c>
      <c r="S60" s="301">
        <f t="shared" ref="S60:V79" si="23">IF(AND($E60=S$36,$F60=S$37),$J60,0)</f>
        <v>0</v>
      </c>
      <c r="T60" s="275">
        <f t="shared" si="23"/>
        <v>0</v>
      </c>
      <c r="U60" s="275">
        <f t="shared" si="23"/>
        <v>0</v>
      </c>
      <c r="V60" s="302">
        <f t="shared" si="23"/>
        <v>0</v>
      </c>
      <c r="W60" s="279">
        <f t="shared" si="20"/>
        <v>0</v>
      </c>
      <c r="X60" s="147"/>
      <c r="Y60" s="147"/>
      <c r="Z60" s="147"/>
    </row>
    <row r="61" spans="1:26" ht="15" customHeight="1">
      <c r="A61" s="705">
        <f t="shared" si="22"/>
        <v>22</v>
      </c>
      <c r="B61" s="360"/>
      <c r="C61" s="218"/>
      <c r="D61" s="244"/>
      <c r="E61" s="218"/>
      <c r="F61" s="219"/>
      <c r="G61" s="709">
        <f>IFERROR(INDEX(【様式３】シフト表!$AK$7:$AK$106,MATCH($M61,【様式３】シフト表!$B$7:$B$106,0),1),0)</f>
        <v>0</v>
      </c>
      <c r="H61" s="161"/>
      <c r="I61" s="343"/>
      <c r="J61" s="783" t="str">
        <f t="shared" si="21"/>
        <v>-</v>
      </c>
      <c r="K61" s="321"/>
      <c r="L61" s="271" t="b">
        <f t="shared" si="14"/>
        <v>0</v>
      </c>
      <c r="M61" s="272">
        <f>IF($E61&lt;&gt;$M$37,0,COUNTIF($E$40:E61,$M$37))</f>
        <v>0</v>
      </c>
      <c r="N61" s="272" t="b">
        <f t="shared" si="15"/>
        <v>0</v>
      </c>
      <c r="O61" s="273" t="b">
        <f t="shared" si="16"/>
        <v>1</v>
      </c>
      <c r="P61" s="195"/>
      <c r="Q61" s="301">
        <f t="shared" si="17"/>
        <v>0</v>
      </c>
      <c r="R61" s="275">
        <f t="shared" si="18"/>
        <v>0</v>
      </c>
      <c r="S61" s="301">
        <f t="shared" si="23"/>
        <v>0</v>
      </c>
      <c r="T61" s="275">
        <f t="shared" si="23"/>
        <v>0</v>
      </c>
      <c r="U61" s="275">
        <f t="shared" si="23"/>
        <v>0</v>
      </c>
      <c r="V61" s="302">
        <f t="shared" si="23"/>
        <v>0</v>
      </c>
      <c r="W61" s="279">
        <f t="shared" si="20"/>
        <v>0</v>
      </c>
      <c r="X61" s="147"/>
      <c r="Y61" s="147"/>
      <c r="Z61" s="147"/>
    </row>
    <row r="62" spans="1:26" ht="15" customHeight="1">
      <c r="A62" s="705">
        <f t="shared" si="22"/>
        <v>23</v>
      </c>
      <c r="B62" s="360"/>
      <c r="C62" s="218"/>
      <c r="D62" s="244"/>
      <c r="E62" s="218"/>
      <c r="F62" s="219"/>
      <c r="G62" s="709">
        <f>IFERROR(INDEX(【様式３】シフト表!$AK$7:$AK$106,MATCH($M62,【様式３】シフト表!$B$7:$B$106,0),1),0)</f>
        <v>0</v>
      </c>
      <c r="H62" s="161"/>
      <c r="I62" s="343"/>
      <c r="J62" s="783" t="str">
        <f t="shared" si="21"/>
        <v>-</v>
      </c>
      <c r="K62" s="321"/>
      <c r="L62" s="271" t="b">
        <f t="shared" si="14"/>
        <v>0</v>
      </c>
      <c r="M62" s="272">
        <f>IF($E62&lt;&gt;$M$37,0,COUNTIF($E$40:E62,$M$37))</f>
        <v>0</v>
      </c>
      <c r="N62" s="272" t="b">
        <f t="shared" si="15"/>
        <v>0</v>
      </c>
      <c r="O62" s="273" t="b">
        <f t="shared" si="16"/>
        <v>1</v>
      </c>
      <c r="P62" s="195"/>
      <c r="Q62" s="301">
        <f t="shared" si="17"/>
        <v>0</v>
      </c>
      <c r="R62" s="275">
        <f t="shared" si="18"/>
        <v>0</v>
      </c>
      <c r="S62" s="301">
        <f t="shared" si="23"/>
        <v>0</v>
      </c>
      <c r="T62" s="275">
        <f t="shared" si="23"/>
        <v>0</v>
      </c>
      <c r="U62" s="275">
        <f t="shared" si="23"/>
        <v>0</v>
      </c>
      <c r="V62" s="302">
        <f t="shared" si="23"/>
        <v>0</v>
      </c>
      <c r="W62" s="279">
        <f t="shared" si="20"/>
        <v>0</v>
      </c>
      <c r="X62" s="147"/>
      <c r="Y62" s="147"/>
      <c r="Z62" s="147"/>
    </row>
    <row r="63" spans="1:26" ht="15" customHeight="1">
      <c r="A63" s="705">
        <f t="shared" si="22"/>
        <v>24</v>
      </c>
      <c r="B63" s="360"/>
      <c r="C63" s="218"/>
      <c r="D63" s="244"/>
      <c r="E63" s="218"/>
      <c r="F63" s="219"/>
      <c r="G63" s="709">
        <f>IFERROR(INDEX(【様式３】シフト表!$AK$7:$AK$106,MATCH($M63,【様式３】シフト表!$B$7:$B$106,0),1),0)</f>
        <v>0</v>
      </c>
      <c r="H63" s="161"/>
      <c r="I63" s="343"/>
      <c r="J63" s="783" t="str">
        <f t="shared" si="21"/>
        <v>-</v>
      </c>
      <c r="K63" s="321"/>
      <c r="L63" s="271" t="b">
        <f t="shared" si="14"/>
        <v>0</v>
      </c>
      <c r="M63" s="272">
        <f>IF($E63&lt;&gt;$M$37,0,COUNTIF($E$40:E63,$M$37))</f>
        <v>0</v>
      </c>
      <c r="N63" s="272" t="b">
        <f t="shared" si="15"/>
        <v>0</v>
      </c>
      <c r="O63" s="273" t="b">
        <f t="shared" si="16"/>
        <v>1</v>
      </c>
      <c r="P63" s="195"/>
      <c r="Q63" s="301">
        <f t="shared" si="17"/>
        <v>0</v>
      </c>
      <c r="R63" s="275">
        <f t="shared" si="18"/>
        <v>0</v>
      </c>
      <c r="S63" s="301">
        <f t="shared" si="23"/>
        <v>0</v>
      </c>
      <c r="T63" s="275">
        <f t="shared" si="23"/>
        <v>0</v>
      </c>
      <c r="U63" s="275">
        <f t="shared" si="23"/>
        <v>0</v>
      </c>
      <c r="V63" s="302">
        <f t="shared" si="23"/>
        <v>0</v>
      </c>
      <c r="W63" s="279">
        <f t="shared" si="20"/>
        <v>0</v>
      </c>
      <c r="X63" s="147"/>
      <c r="Y63" s="147"/>
      <c r="Z63" s="147"/>
    </row>
    <row r="64" spans="1:26" ht="15" customHeight="1">
      <c r="A64" s="705">
        <f t="shared" si="22"/>
        <v>25</v>
      </c>
      <c r="B64" s="360"/>
      <c r="C64" s="218"/>
      <c r="D64" s="244"/>
      <c r="E64" s="218"/>
      <c r="F64" s="219"/>
      <c r="G64" s="709">
        <f>IFERROR(INDEX(【様式３】シフト表!$AK$7:$AK$106,MATCH($M64,【様式３】シフト表!$B$7:$B$106,0),1),0)</f>
        <v>0</v>
      </c>
      <c r="H64" s="161"/>
      <c r="I64" s="343"/>
      <c r="J64" s="783" t="str">
        <f t="shared" si="21"/>
        <v>-</v>
      </c>
      <c r="K64" s="321"/>
      <c r="L64" s="271" t="b">
        <f t="shared" si="14"/>
        <v>0</v>
      </c>
      <c r="M64" s="272">
        <f>IF($E64&lt;&gt;$M$37,0,COUNTIF($E$40:E64,$M$37))</f>
        <v>0</v>
      </c>
      <c r="N64" s="272" t="b">
        <f t="shared" si="15"/>
        <v>0</v>
      </c>
      <c r="O64" s="273" t="b">
        <f t="shared" si="16"/>
        <v>1</v>
      </c>
      <c r="P64" s="195"/>
      <c r="Q64" s="301">
        <f t="shared" si="17"/>
        <v>0</v>
      </c>
      <c r="R64" s="275">
        <f t="shared" si="18"/>
        <v>0</v>
      </c>
      <c r="S64" s="301">
        <f t="shared" si="23"/>
        <v>0</v>
      </c>
      <c r="T64" s="275">
        <f t="shared" si="23"/>
        <v>0</v>
      </c>
      <c r="U64" s="275">
        <f t="shared" si="23"/>
        <v>0</v>
      </c>
      <c r="V64" s="302">
        <f t="shared" si="23"/>
        <v>0</v>
      </c>
      <c r="W64" s="279">
        <f t="shared" si="20"/>
        <v>0</v>
      </c>
      <c r="X64" s="147"/>
      <c r="Y64" s="147"/>
      <c r="Z64" s="147"/>
    </row>
    <row r="65" spans="1:26" ht="15" customHeight="1">
      <c r="A65" s="705">
        <f t="shared" si="22"/>
        <v>26</v>
      </c>
      <c r="B65" s="360"/>
      <c r="C65" s="218"/>
      <c r="D65" s="244"/>
      <c r="E65" s="218"/>
      <c r="F65" s="219"/>
      <c r="G65" s="709">
        <f>IFERROR(INDEX(【様式３】シフト表!$AK$7:$AK$106,MATCH($M65,【様式３】シフト表!$B$7:$B$106,0),1),0)</f>
        <v>0</v>
      </c>
      <c r="H65" s="161"/>
      <c r="I65" s="343"/>
      <c r="J65" s="783" t="str">
        <f t="shared" si="21"/>
        <v>-</v>
      </c>
      <c r="K65" s="321"/>
      <c r="L65" s="271" t="b">
        <f t="shared" si="14"/>
        <v>0</v>
      </c>
      <c r="M65" s="272">
        <f>IF($E65&lt;&gt;$M$37,0,COUNTIF($E$40:E65,$M$37))</f>
        <v>0</v>
      </c>
      <c r="N65" s="272" t="b">
        <f t="shared" si="15"/>
        <v>0</v>
      </c>
      <c r="O65" s="273" t="b">
        <f t="shared" si="16"/>
        <v>1</v>
      </c>
      <c r="P65" s="195"/>
      <c r="Q65" s="301">
        <f t="shared" si="17"/>
        <v>0</v>
      </c>
      <c r="R65" s="275">
        <f t="shared" si="18"/>
        <v>0</v>
      </c>
      <c r="S65" s="301">
        <f t="shared" si="23"/>
        <v>0</v>
      </c>
      <c r="T65" s="275">
        <f t="shared" si="23"/>
        <v>0</v>
      </c>
      <c r="U65" s="275">
        <f t="shared" si="23"/>
        <v>0</v>
      </c>
      <c r="V65" s="302">
        <f t="shared" si="23"/>
        <v>0</v>
      </c>
      <c r="W65" s="279">
        <f t="shared" si="20"/>
        <v>0</v>
      </c>
      <c r="X65" s="147"/>
      <c r="Y65" s="147"/>
      <c r="Z65" s="147"/>
    </row>
    <row r="66" spans="1:26" ht="15" customHeight="1">
      <c r="A66" s="705">
        <f t="shared" si="22"/>
        <v>27</v>
      </c>
      <c r="B66" s="360"/>
      <c r="C66" s="218"/>
      <c r="D66" s="244"/>
      <c r="E66" s="218"/>
      <c r="F66" s="219"/>
      <c r="G66" s="709">
        <f>IFERROR(INDEX(【様式３】シフト表!$AK$7:$AK$106,MATCH($M66,【様式３】シフト表!$B$7:$B$106,0),1),0)</f>
        <v>0</v>
      </c>
      <c r="H66" s="161"/>
      <c r="I66" s="343"/>
      <c r="J66" s="783" t="str">
        <f t="shared" si="21"/>
        <v>-</v>
      </c>
      <c r="K66" s="321"/>
      <c r="L66" s="271" t="b">
        <f t="shared" si="14"/>
        <v>0</v>
      </c>
      <c r="M66" s="272">
        <f>IF($E66&lt;&gt;$M$37,0,COUNTIF($E$40:E66,$M$37))</f>
        <v>0</v>
      </c>
      <c r="N66" s="272" t="b">
        <f t="shared" si="15"/>
        <v>0</v>
      </c>
      <c r="O66" s="273" t="b">
        <f t="shared" si="16"/>
        <v>1</v>
      </c>
      <c r="P66" s="195"/>
      <c r="Q66" s="301">
        <f t="shared" si="17"/>
        <v>0</v>
      </c>
      <c r="R66" s="275">
        <f t="shared" si="18"/>
        <v>0</v>
      </c>
      <c r="S66" s="301">
        <f t="shared" si="23"/>
        <v>0</v>
      </c>
      <c r="T66" s="275">
        <f t="shared" si="23"/>
        <v>0</v>
      </c>
      <c r="U66" s="275">
        <f t="shared" si="23"/>
        <v>0</v>
      </c>
      <c r="V66" s="302">
        <f t="shared" si="23"/>
        <v>0</v>
      </c>
      <c r="W66" s="279">
        <f t="shared" si="20"/>
        <v>0</v>
      </c>
      <c r="X66" s="147"/>
      <c r="Y66" s="147"/>
      <c r="Z66" s="147"/>
    </row>
    <row r="67" spans="1:26" ht="15" customHeight="1">
      <c r="A67" s="705">
        <f t="shared" si="22"/>
        <v>28</v>
      </c>
      <c r="B67" s="360"/>
      <c r="C67" s="218"/>
      <c r="D67" s="244"/>
      <c r="E67" s="218"/>
      <c r="F67" s="219"/>
      <c r="G67" s="709">
        <f>IFERROR(INDEX(【様式３】シフト表!$AK$7:$AK$106,MATCH($M67,【様式３】シフト表!$B$7:$B$106,0),1),0)</f>
        <v>0</v>
      </c>
      <c r="H67" s="161"/>
      <c r="I67" s="343"/>
      <c r="J67" s="783" t="str">
        <f t="shared" si="21"/>
        <v>-</v>
      </c>
      <c r="K67" s="321"/>
      <c r="L67" s="271" t="b">
        <f t="shared" si="14"/>
        <v>0</v>
      </c>
      <c r="M67" s="272">
        <f>IF($E67&lt;&gt;$M$37,0,COUNTIF($E$40:E67,$M$37))</f>
        <v>0</v>
      </c>
      <c r="N67" s="272" t="b">
        <f t="shared" si="15"/>
        <v>0</v>
      </c>
      <c r="O67" s="273" t="b">
        <f t="shared" si="16"/>
        <v>1</v>
      </c>
      <c r="P67" s="195"/>
      <c r="Q67" s="301">
        <f t="shared" si="17"/>
        <v>0</v>
      </c>
      <c r="R67" s="275">
        <f t="shared" si="18"/>
        <v>0</v>
      </c>
      <c r="S67" s="301">
        <f t="shared" si="23"/>
        <v>0</v>
      </c>
      <c r="T67" s="275">
        <f t="shared" si="23"/>
        <v>0</v>
      </c>
      <c r="U67" s="275">
        <f t="shared" si="23"/>
        <v>0</v>
      </c>
      <c r="V67" s="302">
        <f t="shared" si="23"/>
        <v>0</v>
      </c>
      <c r="W67" s="279">
        <f t="shared" si="20"/>
        <v>0</v>
      </c>
      <c r="X67" s="147"/>
      <c r="Y67" s="147"/>
      <c r="Z67" s="147"/>
    </row>
    <row r="68" spans="1:26" ht="15" customHeight="1">
      <c r="A68" s="705">
        <f t="shared" si="22"/>
        <v>29</v>
      </c>
      <c r="B68" s="360"/>
      <c r="C68" s="218"/>
      <c r="D68" s="244"/>
      <c r="E68" s="218"/>
      <c r="F68" s="219"/>
      <c r="G68" s="709">
        <f>IFERROR(INDEX(【様式３】シフト表!$AK$7:$AK$106,MATCH($M68,【様式３】シフト表!$B$7:$B$106,0),1),0)</f>
        <v>0</v>
      </c>
      <c r="H68" s="161"/>
      <c r="I68" s="343"/>
      <c r="J68" s="783" t="str">
        <f t="shared" si="21"/>
        <v>-</v>
      </c>
      <c r="K68" s="321"/>
      <c r="L68" s="271" t="b">
        <f t="shared" si="14"/>
        <v>0</v>
      </c>
      <c r="M68" s="272">
        <f>IF($E68&lt;&gt;$M$37,0,COUNTIF($E$40:E68,$M$37))</f>
        <v>0</v>
      </c>
      <c r="N68" s="272" t="b">
        <f t="shared" si="15"/>
        <v>0</v>
      </c>
      <c r="O68" s="273" t="b">
        <f t="shared" si="16"/>
        <v>1</v>
      </c>
      <c r="P68" s="195"/>
      <c r="Q68" s="301">
        <f t="shared" si="17"/>
        <v>0</v>
      </c>
      <c r="R68" s="275">
        <f t="shared" si="18"/>
        <v>0</v>
      </c>
      <c r="S68" s="301">
        <f t="shared" si="23"/>
        <v>0</v>
      </c>
      <c r="T68" s="275">
        <f t="shared" si="23"/>
        <v>0</v>
      </c>
      <c r="U68" s="275">
        <f t="shared" si="23"/>
        <v>0</v>
      </c>
      <c r="V68" s="302">
        <f t="shared" si="23"/>
        <v>0</v>
      </c>
      <c r="W68" s="279">
        <f t="shared" si="20"/>
        <v>0</v>
      </c>
      <c r="X68" s="147"/>
      <c r="Y68" s="147"/>
      <c r="Z68" s="147"/>
    </row>
    <row r="69" spans="1:26" ht="15" customHeight="1">
      <c r="A69" s="705">
        <f t="shared" si="22"/>
        <v>30</v>
      </c>
      <c r="B69" s="360"/>
      <c r="C69" s="218"/>
      <c r="D69" s="244"/>
      <c r="E69" s="218"/>
      <c r="F69" s="219"/>
      <c r="G69" s="709">
        <f>IFERROR(INDEX(【様式３】シフト表!$AK$7:$AK$106,MATCH($M69,【様式３】シフト表!$B$7:$B$106,0),1),0)</f>
        <v>0</v>
      </c>
      <c r="H69" s="161"/>
      <c r="I69" s="343"/>
      <c r="J69" s="783" t="str">
        <f t="shared" si="21"/>
        <v>-</v>
      </c>
      <c r="K69" s="321"/>
      <c r="L69" s="271" t="b">
        <f t="shared" si="14"/>
        <v>0</v>
      </c>
      <c r="M69" s="272">
        <f>IF($E69&lt;&gt;$M$37,0,COUNTIF($E$40:E69,$M$37))</f>
        <v>0</v>
      </c>
      <c r="N69" s="272" t="b">
        <f t="shared" si="15"/>
        <v>0</v>
      </c>
      <c r="O69" s="273" t="b">
        <f t="shared" si="16"/>
        <v>1</v>
      </c>
      <c r="P69" s="195"/>
      <c r="Q69" s="301">
        <f t="shared" si="17"/>
        <v>0</v>
      </c>
      <c r="R69" s="275">
        <f t="shared" si="18"/>
        <v>0</v>
      </c>
      <c r="S69" s="301">
        <f t="shared" si="23"/>
        <v>0</v>
      </c>
      <c r="T69" s="275">
        <f t="shared" si="23"/>
        <v>0</v>
      </c>
      <c r="U69" s="275">
        <f t="shared" si="23"/>
        <v>0</v>
      </c>
      <c r="V69" s="302">
        <f t="shared" si="23"/>
        <v>0</v>
      </c>
      <c r="W69" s="279">
        <f t="shared" si="20"/>
        <v>0</v>
      </c>
      <c r="X69" s="147"/>
      <c r="Y69" s="147"/>
      <c r="Z69" s="147"/>
    </row>
    <row r="70" spans="1:26" ht="15" customHeight="1">
      <c r="A70" s="705">
        <f t="shared" si="22"/>
        <v>31</v>
      </c>
      <c r="B70" s="360"/>
      <c r="C70" s="218"/>
      <c r="D70" s="244"/>
      <c r="E70" s="218"/>
      <c r="F70" s="219"/>
      <c r="G70" s="709">
        <f>IFERROR(INDEX(【様式３】シフト表!$AK$7:$AK$106,MATCH($M70,【様式３】シフト表!$B$7:$B$106,0),1),0)</f>
        <v>0</v>
      </c>
      <c r="H70" s="161"/>
      <c r="I70" s="343"/>
      <c r="J70" s="783" t="str">
        <f t="shared" si="21"/>
        <v>-</v>
      </c>
      <c r="K70" s="321"/>
      <c r="L70" s="271" t="b">
        <f t="shared" si="14"/>
        <v>0</v>
      </c>
      <c r="M70" s="272">
        <f>IF($E70&lt;&gt;$M$37,0,COUNTIF($E$40:E70,$M$37))</f>
        <v>0</v>
      </c>
      <c r="N70" s="272" t="b">
        <f t="shared" si="15"/>
        <v>0</v>
      </c>
      <c r="O70" s="273" t="b">
        <f t="shared" si="16"/>
        <v>1</v>
      </c>
      <c r="P70" s="195"/>
      <c r="Q70" s="301">
        <f t="shared" si="17"/>
        <v>0</v>
      </c>
      <c r="R70" s="275">
        <f t="shared" si="18"/>
        <v>0</v>
      </c>
      <c r="S70" s="301">
        <f t="shared" si="23"/>
        <v>0</v>
      </c>
      <c r="T70" s="275">
        <f t="shared" si="23"/>
        <v>0</v>
      </c>
      <c r="U70" s="275">
        <f t="shared" si="23"/>
        <v>0</v>
      </c>
      <c r="V70" s="302">
        <f t="shared" si="23"/>
        <v>0</v>
      </c>
      <c r="W70" s="279">
        <f t="shared" si="20"/>
        <v>0</v>
      </c>
      <c r="X70" s="147"/>
      <c r="Y70" s="147"/>
      <c r="Z70" s="147"/>
    </row>
    <row r="71" spans="1:26" ht="15" customHeight="1">
      <c r="A71" s="705">
        <f t="shared" si="22"/>
        <v>32</v>
      </c>
      <c r="B71" s="360"/>
      <c r="C71" s="218"/>
      <c r="D71" s="244"/>
      <c r="E71" s="218"/>
      <c r="F71" s="219"/>
      <c r="G71" s="709">
        <f>IFERROR(INDEX(【様式３】シフト表!$AK$7:$AK$106,MATCH($M71,【様式３】シフト表!$B$7:$B$106,0),1),0)</f>
        <v>0</v>
      </c>
      <c r="H71" s="161"/>
      <c r="I71" s="343"/>
      <c r="J71" s="783" t="str">
        <f t="shared" si="21"/>
        <v>-</v>
      </c>
      <c r="K71" s="321"/>
      <c r="L71" s="271" t="b">
        <f t="shared" si="14"/>
        <v>0</v>
      </c>
      <c r="M71" s="272">
        <f>IF($E71&lt;&gt;$M$37,0,COUNTIF($E$40:E71,$M$37))</f>
        <v>0</v>
      </c>
      <c r="N71" s="272" t="b">
        <f t="shared" si="15"/>
        <v>0</v>
      </c>
      <c r="O71" s="273" t="b">
        <f t="shared" si="16"/>
        <v>1</v>
      </c>
      <c r="P71" s="195"/>
      <c r="Q71" s="301">
        <f t="shared" si="17"/>
        <v>0</v>
      </c>
      <c r="R71" s="275">
        <f t="shared" si="18"/>
        <v>0</v>
      </c>
      <c r="S71" s="301">
        <f t="shared" si="23"/>
        <v>0</v>
      </c>
      <c r="T71" s="275">
        <f t="shared" si="23"/>
        <v>0</v>
      </c>
      <c r="U71" s="275">
        <f t="shared" si="23"/>
        <v>0</v>
      </c>
      <c r="V71" s="302">
        <f t="shared" si="23"/>
        <v>0</v>
      </c>
      <c r="W71" s="279">
        <f t="shared" si="20"/>
        <v>0</v>
      </c>
      <c r="X71" s="147"/>
      <c r="Y71" s="147"/>
      <c r="Z71" s="147"/>
    </row>
    <row r="72" spans="1:26" ht="15" customHeight="1">
      <c r="A72" s="705">
        <f t="shared" si="22"/>
        <v>33</v>
      </c>
      <c r="B72" s="360"/>
      <c r="C72" s="218"/>
      <c r="D72" s="244"/>
      <c r="E72" s="218"/>
      <c r="F72" s="219"/>
      <c r="G72" s="709">
        <f>IFERROR(INDEX(【様式３】シフト表!$AK$7:$AK$106,MATCH($M72,【様式３】シフト表!$B$7:$B$106,0),1),0)</f>
        <v>0</v>
      </c>
      <c r="H72" s="161"/>
      <c r="I72" s="343"/>
      <c r="J72" s="783" t="str">
        <f t="shared" si="21"/>
        <v>-</v>
      </c>
      <c r="K72" s="321"/>
      <c r="L72" s="271" t="b">
        <f t="shared" ref="L72:L103" si="24">$D72=$L$37</f>
        <v>0</v>
      </c>
      <c r="M72" s="272">
        <f>IF($E72&lt;&gt;$M$37,0,COUNTIF($E$40:E72,$M$37))</f>
        <v>0</v>
      </c>
      <c r="N72" s="272" t="b">
        <f t="shared" ref="N72:N103" si="25">OR($H72&gt;$H$38,AND($E72=$AA$28,$F72&lt;&gt;$AB$28,$F72&lt;&gt;$AB$29,$F72&lt;&gt;$AB$30,$F72&lt;&gt;$AB$31),AND($E72=$AA$29,$F72&lt;&gt;$AC$28,$F72&lt;&gt;$AC$29,$F72&lt;&gt;$AC$30,$F72&lt;&gt;$AC$31))</f>
        <v>0</v>
      </c>
      <c r="O72" s="273" t="b">
        <f t="shared" ref="O72:O103" si="26">OR($B72=0,$C72=0,$E72=0,AND($E72&lt;&gt;0,$F72=0),AND($E72=O$37,$G72=0),$H72=0)</f>
        <v>1</v>
      </c>
      <c r="P72" s="195"/>
      <c r="Q72" s="301">
        <f t="shared" ref="Q72:Q103" si="27">IF($E72=Q$36,1,0)</f>
        <v>0</v>
      </c>
      <c r="R72" s="275">
        <f t="shared" ref="R72:R103" si="28">IF($E72=R$36,$G72,0)</f>
        <v>0</v>
      </c>
      <c r="S72" s="301">
        <f t="shared" si="23"/>
        <v>0</v>
      </c>
      <c r="T72" s="275">
        <f t="shared" si="23"/>
        <v>0</v>
      </c>
      <c r="U72" s="275">
        <f t="shared" si="23"/>
        <v>0</v>
      </c>
      <c r="V72" s="302">
        <f t="shared" si="23"/>
        <v>0</v>
      </c>
      <c r="W72" s="279">
        <f t="shared" ref="W72:W103" si="29">IF($E72=W$36,$J72,0)</f>
        <v>0</v>
      </c>
      <c r="X72" s="147"/>
      <c r="Y72" s="147"/>
      <c r="Z72" s="147"/>
    </row>
    <row r="73" spans="1:26" ht="15" customHeight="1">
      <c r="A73" s="705">
        <f t="shared" si="22"/>
        <v>34</v>
      </c>
      <c r="B73" s="360"/>
      <c r="C73" s="218"/>
      <c r="D73" s="244"/>
      <c r="E73" s="218"/>
      <c r="F73" s="219"/>
      <c r="G73" s="709">
        <f>IFERROR(INDEX(【様式３】シフト表!$AK$7:$AK$106,MATCH($M73,【様式３】シフト表!$B$7:$B$106,0),1),0)</f>
        <v>0</v>
      </c>
      <c r="H73" s="161"/>
      <c r="I73" s="343"/>
      <c r="J73" s="783" t="str">
        <f t="shared" si="21"/>
        <v>-</v>
      </c>
      <c r="K73" s="321"/>
      <c r="L73" s="271" t="b">
        <f t="shared" si="24"/>
        <v>0</v>
      </c>
      <c r="M73" s="272">
        <f>IF($E73&lt;&gt;$M$37,0,COUNTIF($E$40:E73,$M$37))</f>
        <v>0</v>
      </c>
      <c r="N73" s="272" t="b">
        <f t="shared" si="25"/>
        <v>0</v>
      </c>
      <c r="O73" s="273" t="b">
        <f t="shared" si="26"/>
        <v>1</v>
      </c>
      <c r="P73" s="195"/>
      <c r="Q73" s="301">
        <f t="shared" si="27"/>
        <v>0</v>
      </c>
      <c r="R73" s="275">
        <f t="shared" si="28"/>
        <v>0</v>
      </c>
      <c r="S73" s="301">
        <f t="shared" si="23"/>
        <v>0</v>
      </c>
      <c r="T73" s="275">
        <f t="shared" si="23"/>
        <v>0</v>
      </c>
      <c r="U73" s="275">
        <f t="shared" si="23"/>
        <v>0</v>
      </c>
      <c r="V73" s="302">
        <f t="shared" si="23"/>
        <v>0</v>
      </c>
      <c r="W73" s="279">
        <f t="shared" si="29"/>
        <v>0</v>
      </c>
      <c r="X73" s="147"/>
      <c r="Y73" s="147"/>
      <c r="Z73" s="147"/>
    </row>
    <row r="74" spans="1:26" ht="15" customHeight="1">
      <c r="A74" s="705">
        <f t="shared" si="22"/>
        <v>35</v>
      </c>
      <c r="B74" s="360"/>
      <c r="C74" s="218"/>
      <c r="D74" s="244"/>
      <c r="E74" s="218"/>
      <c r="F74" s="219"/>
      <c r="G74" s="709">
        <f>IFERROR(INDEX(【様式３】シフト表!$AK$7:$AK$106,MATCH($M74,【様式３】シフト表!$B$7:$B$106,0),1),0)</f>
        <v>0</v>
      </c>
      <c r="H74" s="161"/>
      <c r="I74" s="343"/>
      <c r="J74" s="783" t="str">
        <f t="shared" si="21"/>
        <v>-</v>
      </c>
      <c r="K74" s="321"/>
      <c r="L74" s="271" t="b">
        <f t="shared" si="24"/>
        <v>0</v>
      </c>
      <c r="M74" s="272">
        <f>IF($E74&lt;&gt;$M$37,0,COUNTIF($E$40:E74,$M$37))</f>
        <v>0</v>
      </c>
      <c r="N74" s="272" t="b">
        <f t="shared" si="25"/>
        <v>0</v>
      </c>
      <c r="O74" s="273" t="b">
        <f t="shared" si="26"/>
        <v>1</v>
      </c>
      <c r="P74" s="195"/>
      <c r="Q74" s="301">
        <f t="shared" si="27"/>
        <v>0</v>
      </c>
      <c r="R74" s="275">
        <f t="shared" si="28"/>
        <v>0</v>
      </c>
      <c r="S74" s="301">
        <f t="shared" si="23"/>
        <v>0</v>
      </c>
      <c r="T74" s="275">
        <f t="shared" si="23"/>
        <v>0</v>
      </c>
      <c r="U74" s="275">
        <f t="shared" si="23"/>
        <v>0</v>
      </c>
      <c r="V74" s="302">
        <f t="shared" si="23"/>
        <v>0</v>
      </c>
      <c r="W74" s="279">
        <f t="shared" si="29"/>
        <v>0</v>
      </c>
      <c r="X74" s="147"/>
      <c r="Y74" s="147"/>
      <c r="Z74" s="147"/>
    </row>
    <row r="75" spans="1:26" ht="15" customHeight="1">
      <c r="A75" s="705">
        <f t="shared" si="22"/>
        <v>36</v>
      </c>
      <c r="B75" s="360"/>
      <c r="C75" s="218"/>
      <c r="D75" s="244"/>
      <c r="E75" s="218"/>
      <c r="F75" s="219"/>
      <c r="G75" s="709">
        <f>IFERROR(INDEX(【様式３】シフト表!$AK$7:$AK$106,MATCH($M75,【様式３】シフト表!$B$7:$B$106,0),1),0)</f>
        <v>0</v>
      </c>
      <c r="H75" s="161"/>
      <c r="I75" s="343"/>
      <c r="J75" s="783" t="str">
        <f t="shared" si="21"/>
        <v>-</v>
      </c>
      <c r="K75" s="321"/>
      <c r="L75" s="271" t="b">
        <f t="shared" si="24"/>
        <v>0</v>
      </c>
      <c r="M75" s="272">
        <f>IF($E75&lt;&gt;$M$37,0,COUNTIF($E$40:E75,$M$37))</f>
        <v>0</v>
      </c>
      <c r="N75" s="272" t="b">
        <f t="shared" si="25"/>
        <v>0</v>
      </c>
      <c r="O75" s="273" t="b">
        <f t="shared" si="26"/>
        <v>1</v>
      </c>
      <c r="P75" s="195"/>
      <c r="Q75" s="301">
        <f t="shared" si="27"/>
        <v>0</v>
      </c>
      <c r="R75" s="275">
        <f t="shared" si="28"/>
        <v>0</v>
      </c>
      <c r="S75" s="301">
        <f t="shared" si="23"/>
        <v>0</v>
      </c>
      <c r="T75" s="275">
        <f t="shared" si="23"/>
        <v>0</v>
      </c>
      <c r="U75" s="275">
        <f t="shared" si="23"/>
        <v>0</v>
      </c>
      <c r="V75" s="302">
        <f t="shared" si="23"/>
        <v>0</v>
      </c>
      <c r="W75" s="279">
        <f t="shared" si="29"/>
        <v>0</v>
      </c>
      <c r="X75" s="147"/>
      <c r="Y75" s="147"/>
      <c r="Z75" s="147"/>
    </row>
    <row r="76" spans="1:26" ht="15" customHeight="1">
      <c r="A76" s="705">
        <f t="shared" si="22"/>
        <v>37</v>
      </c>
      <c r="B76" s="360"/>
      <c r="C76" s="218"/>
      <c r="D76" s="244"/>
      <c r="E76" s="218"/>
      <c r="F76" s="219"/>
      <c r="G76" s="709">
        <f>IFERROR(INDEX(【様式３】シフト表!$AK$7:$AK$106,MATCH($M76,【様式３】シフト表!$B$7:$B$106,0),1),0)</f>
        <v>0</v>
      </c>
      <c r="H76" s="161"/>
      <c r="I76" s="343"/>
      <c r="J76" s="783" t="str">
        <f t="shared" si="21"/>
        <v>-</v>
      </c>
      <c r="K76" s="321"/>
      <c r="L76" s="271" t="b">
        <f t="shared" si="24"/>
        <v>0</v>
      </c>
      <c r="M76" s="272">
        <f>IF($E76&lt;&gt;$M$37,0,COUNTIF($E$40:E76,$M$37))</f>
        <v>0</v>
      </c>
      <c r="N76" s="272" t="b">
        <f t="shared" si="25"/>
        <v>0</v>
      </c>
      <c r="O76" s="273" t="b">
        <f t="shared" si="26"/>
        <v>1</v>
      </c>
      <c r="P76" s="195"/>
      <c r="Q76" s="301">
        <f t="shared" si="27"/>
        <v>0</v>
      </c>
      <c r="R76" s="275">
        <f t="shared" si="28"/>
        <v>0</v>
      </c>
      <c r="S76" s="301">
        <f t="shared" si="23"/>
        <v>0</v>
      </c>
      <c r="T76" s="275">
        <f t="shared" si="23"/>
        <v>0</v>
      </c>
      <c r="U76" s="275">
        <f t="shared" si="23"/>
        <v>0</v>
      </c>
      <c r="V76" s="302">
        <f t="shared" si="23"/>
        <v>0</v>
      </c>
      <c r="W76" s="279">
        <f t="shared" si="29"/>
        <v>0</v>
      </c>
      <c r="X76" s="147"/>
      <c r="Y76" s="147"/>
      <c r="Z76" s="147"/>
    </row>
    <row r="77" spans="1:26" ht="15" customHeight="1">
      <c r="A77" s="705">
        <f t="shared" si="22"/>
        <v>38</v>
      </c>
      <c r="B77" s="360"/>
      <c r="C77" s="218"/>
      <c r="D77" s="244"/>
      <c r="E77" s="218"/>
      <c r="F77" s="219"/>
      <c r="G77" s="709">
        <f>IFERROR(INDEX(【様式３】シフト表!$AK$7:$AK$106,MATCH($M77,【様式３】シフト表!$B$7:$B$106,0),1),0)</f>
        <v>0</v>
      </c>
      <c r="H77" s="161"/>
      <c r="I77" s="343"/>
      <c r="J77" s="783" t="str">
        <f t="shared" si="21"/>
        <v>-</v>
      </c>
      <c r="K77" s="321"/>
      <c r="L77" s="271" t="b">
        <f t="shared" si="24"/>
        <v>0</v>
      </c>
      <c r="M77" s="272">
        <f>IF($E77&lt;&gt;$M$37,0,COUNTIF($E$40:E77,$M$37))</f>
        <v>0</v>
      </c>
      <c r="N77" s="272" t="b">
        <f t="shared" si="25"/>
        <v>0</v>
      </c>
      <c r="O77" s="273" t="b">
        <f t="shared" si="26"/>
        <v>1</v>
      </c>
      <c r="P77" s="195"/>
      <c r="Q77" s="301">
        <f t="shared" si="27"/>
        <v>0</v>
      </c>
      <c r="R77" s="275">
        <f t="shared" si="28"/>
        <v>0</v>
      </c>
      <c r="S77" s="301">
        <f t="shared" si="23"/>
        <v>0</v>
      </c>
      <c r="T77" s="275">
        <f t="shared" si="23"/>
        <v>0</v>
      </c>
      <c r="U77" s="275">
        <f t="shared" si="23"/>
        <v>0</v>
      </c>
      <c r="V77" s="302">
        <f t="shared" si="23"/>
        <v>0</v>
      </c>
      <c r="W77" s="279">
        <f t="shared" si="29"/>
        <v>0</v>
      </c>
      <c r="X77" s="147"/>
      <c r="Y77" s="147"/>
      <c r="Z77" s="147"/>
    </row>
    <row r="78" spans="1:26" ht="15" customHeight="1">
      <c r="A78" s="705">
        <f t="shared" si="22"/>
        <v>39</v>
      </c>
      <c r="B78" s="360"/>
      <c r="C78" s="218"/>
      <c r="D78" s="244"/>
      <c r="E78" s="218"/>
      <c r="F78" s="219"/>
      <c r="G78" s="709">
        <f>IFERROR(INDEX(【様式３】シフト表!$AK$7:$AK$106,MATCH($M78,【様式３】シフト表!$B$7:$B$106,0),1),0)</f>
        <v>0</v>
      </c>
      <c r="H78" s="161"/>
      <c r="I78" s="343"/>
      <c r="J78" s="783" t="str">
        <f t="shared" si="21"/>
        <v>-</v>
      </c>
      <c r="K78" s="321"/>
      <c r="L78" s="271" t="b">
        <f t="shared" si="24"/>
        <v>0</v>
      </c>
      <c r="M78" s="272">
        <f>IF($E78&lt;&gt;$M$37,0,COUNTIF($E$40:E78,$M$37))</f>
        <v>0</v>
      </c>
      <c r="N78" s="272" t="b">
        <f t="shared" si="25"/>
        <v>0</v>
      </c>
      <c r="O78" s="273" t="b">
        <f t="shared" si="26"/>
        <v>1</v>
      </c>
      <c r="P78" s="195"/>
      <c r="Q78" s="301">
        <f t="shared" si="27"/>
        <v>0</v>
      </c>
      <c r="R78" s="275">
        <f t="shared" si="28"/>
        <v>0</v>
      </c>
      <c r="S78" s="301">
        <f t="shared" si="23"/>
        <v>0</v>
      </c>
      <c r="T78" s="275">
        <f t="shared" si="23"/>
        <v>0</v>
      </c>
      <c r="U78" s="275">
        <f t="shared" si="23"/>
        <v>0</v>
      </c>
      <c r="V78" s="302">
        <f t="shared" si="23"/>
        <v>0</v>
      </c>
      <c r="W78" s="279">
        <f t="shared" si="29"/>
        <v>0</v>
      </c>
      <c r="X78" s="147"/>
      <c r="Y78" s="147"/>
      <c r="Z78" s="147"/>
    </row>
    <row r="79" spans="1:26" ht="15" customHeight="1">
      <c r="A79" s="705">
        <f t="shared" si="22"/>
        <v>40</v>
      </c>
      <c r="B79" s="360"/>
      <c r="C79" s="218"/>
      <c r="D79" s="244"/>
      <c r="E79" s="218"/>
      <c r="F79" s="219"/>
      <c r="G79" s="709">
        <f>IFERROR(INDEX(【様式３】シフト表!$AK$7:$AK$106,MATCH($M79,【様式３】シフト表!$B$7:$B$106,0),1),0)</f>
        <v>0</v>
      </c>
      <c r="H79" s="161"/>
      <c r="I79" s="343"/>
      <c r="J79" s="783" t="str">
        <f t="shared" si="21"/>
        <v>-</v>
      </c>
      <c r="K79" s="321"/>
      <c r="L79" s="271" t="b">
        <f t="shared" si="24"/>
        <v>0</v>
      </c>
      <c r="M79" s="272">
        <f>IF($E79&lt;&gt;$M$37,0,COUNTIF($E$40:E79,$M$37))</f>
        <v>0</v>
      </c>
      <c r="N79" s="272" t="b">
        <f t="shared" si="25"/>
        <v>0</v>
      </c>
      <c r="O79" s="273" t="b">
        <f t="shared" si="26"/>
        <v>1</v>
      </c>
      <c r="P79" s="195"/>
      <c r="Q79" s="301">
        <f t="shared" si="27"/>
        <v>0</v>
      </c>
      <c r="R79" s="275">
        <f t="shared" si="28"/>
        <v>0</v>
      </c>
      <c r="S79" s="301">
        <f t="shared" si="23"/>
        <v>0</v>
      </c>
      <c r="T79" s="275">
        <f t="shared" si="23"/>
        <v>0</v>
      </c>
      <c r="U79" s="275">
        <f t="shared" si="23"/>
        <v>0</v>
      </c>
      <c r="V79" s="302">
        <f t="shared" si="23"/>
        <v>0</v>
      </c>
      <c r="W79" s="279">
        <f t="shared" si="29"/>
        <v>0</v>
      </c>
      <c r="X79" s="147"/>
      <c r="Y79" s="147"/>
      <c r="Z79" s="147"/>
    </row>
    <row r="80" spans="1:26" ht="15" customHeight="1">
      <c r="A80" s="705">
        <f t="shared" si="22"/>
        <v>41</v>
      </c>
      <c r="B80" s="360"/>
      <c r="C80" s="218"/>
      <c r="D80" s="244"/>
      <c r="E80" s="218"/>
      <c r="F80" s="219"/>
      <c r="G80" s="709">
        <f>IFERROR(INDEX(【様式３】シフト表!$AK$7:$AK$106,MATCH($M80,【様式３】シフト表!$B$7:$B$106,0),1),0)</f>
        <v>0</v>
      </c>
      <c r="H80" s="161"/>
      <c r="I80" s="343"/>
      <c r="J80" s="783" t="str">
        <f t="shared" si="21"/>
        <v>-</v>
      </c>
      <c r="K80" s="321"/>
      <c r="L80" s="271" t="b">
        <f t="shared" si="24"/>
        <v>0</v>
      </c>
      <c r="M80" s="272">
        <f>IF($E80&lt;&gt;$M$37,0,COUNTIF($E$40:E80,$M$37))</f>
        <v>0</v>
      </c>
      <c r="N80" s="272" t="b">
        <f t="shared" si="25"/>
        <v>0</v>
      </c>
      <c r="O80" s="273" t="b">
        <f t="shared" si="26"/>
        <v>1</v>
      </c>
      <c r="P80" s="195"/>
      <c r="Q80" s="301">
        <f t="shared" si="27"/>
        <v>0</v>
      </c>
      <c r="R80" s="275">
        <f t="shared" si="28"/>
        <v>0</v>
      </c>
      <c r="S80" s="301">
        <f t="shared" ref="S80:V99" si="30">IF(AND($E80=S$36,$F80=S$37),$J80,0)</f>
        <v>0</v>
      </c>
      <c r="T80" s="275">
        <f t="shared" si="30"/>
        <v>0</v>
      </c>
      <c r="U80" s="275">
        <f t="shared" si="30"/>
        <v>0</v>
      </c>
      <c r="V80" s="302">
        <f t="shared" si="30"/>
        <v>0</v>
      </c>
      <c r="W80" s="279">
        <f t="shared" si="29"/>
        <v>0</v>
      </c>
      <c r="X80" s="147"/>
      <c r="Y80" s="147"/>
      <c r="Z80" s="147"/>
    </row>
    <row r="81" spans="1:26" ht="15" customHeight="1">
      <c r="A81" s="705">
        <f t="shared" si="22"/>
        <v>42</v>
      </c>
      <c r="B81" s="360"/>
      <c r="C81" s="218"/>
      <c r="D81" s="244"/>
      <c r="E81" s="218"/>
      <c r="F81" s="219"/>
      <c r="G81" s="709">
        <f>IFERROR(INDEX(【様式３】シフト表!$AK$7:$AK$106,MATCH($M81,【様式３】シフト表!$B$7:$B$106,0),1),0)</f>
        <v>0</v>
      </c>
      <c r="H81" s="161"/>
      <c r="I81" s="343"/>
      <c r="J81" s="783" t="str">
        <f t="shared" si="21"/>
        <v>-</v>
      </c>
      <c r="K81" s="321"/>
      <c r="L81" s="271" t="b">
        <f t="shared" si="24"/>
        <v>0</v>
      </c>
      <c r="M81" s="272">
        <f>IF($E81&lt;&gt;$M$37,0,COUNTIF($E$40:E81,$M$37))</f>
        <v>0</v>
      </c>
      <c r="N81" s="272" t="b">
        <f t="shared" si="25"/>
        <v>0</v>
      </c>
      <c r="O81" s="273" t="b">
        <f t="shared" si="26"/>
        <v>1</v>
      </c>
      <c r="P81" s="195"/>
      <c r="Q81" s="301">
        <f t="shared" si="27"/>
        <v>0</v>
      </c>
      <c r="R81" s="275">
        <f t="shared" si="28"/>
        <v>0</v>
      </c>
      <c r="S81" s="301">
        <f t="shared" si="30"/>
        <v>0</v>
      </c>
      <c r="T81" s="275">
        <f t="shared" si="30"/>
        <v>0</v>
      </c>
      <c r="U81" s="275">
        <f t="shared" si="30"/>
        <v>0</v>
      </c>
      <c r="V81" s="302">
        <f t="shared" si="30"/>
        <v>0</v>
      </c>
      <c r="W81" s="279">
        <f t="shared" si="29"/>
        <v>0</v>
      </c>
      <c r="X81" s="147"/>
      <c r="Y81" s="147"/>
      <c r="Z81" s="147"/>
    </row>
    <row r="82" spans="1:26" ht="15" customHeight="1">
      <c r="A82" s="705">
        <f t="shared" si="22"/>
        <v>43</v>
      </c>
      <c r="B82" s="360"/>
      <c r="C82" s="218"/>
      <c r="D82" s="244"/>
      <c r="E82" s="218"/>
      <c r="F82" s="219"/>
      <c r="G82" s="709">
        <f>IFERROR(INDEX(【様式３】シフト表!$AK$7:$AK$106,MATCH($M82,【様式３】シフト表!$B$7:$B$106,0),1),0)</f>
        <v>0</v>
      </c>
      <c r="H82" s="161"/>
      <c r="I82" s="343"/>
      <c r="J82" s="783" t="str">
        <f t="shared" si="21"/>
        <v>-</v>
      </c>
      <c r="K82" s="321"/>
      <c r="L82" s="271" t="b">
        <f t="shared" si="24"/>
        <v>0</v>
      </c>
      <c r="M82" s="272">
        <f>IF($E82&lt;&gt;$M$37,0,COUNTIF($E$40:E82,$M$37))</f>
        <v>0</v>
      </c>
      <c r="N82" s="272" t="b">
        <f t="shared" si="25"/>
        <v>0</v>
      </c>
      <c r="O82" s="273" t="b">
        <f t="shared" si="26"/>
        <v>1</v>
      </c>
      <c r="P82" s="195"/>
      <c r="Q82" s="301">
        <f t="shared" si="27"/>
        <v>0</v>
      </c>
      <c r="R82" s="275">
        <f t="shared" si="28"/>
        <v>0</v>
      </c>
      <c r="S82" s="301">
        <f t="shared" si="30"/>
        <v>0</v>
      </c>
      <c r="T82" s="275">
        <f t="shared" si="30"/>
        <v>0</v>
      </c>
      <c r="U82" s="275">
        <f t="shared" si="30"/>
        <v>0</v>
      </c>
      <c r="V82" s="302">
        <f t="shared" si="30"/>
        <v>0</v>
      </c>
      <c r="W82" s="279">
        <f t="shared" si="29"/>
        <v>0</v>
      </c>
      <c r="X82" s="147"/>
      <c r="Y82" s="147"/>
      <c r="Z82" s="147"/>
    </row>
    <row r="83" spans="1:26" ht="15" customHeight="1">
      <c r="A83" s="705">
        <f t="shared" si="22"/>
        <v>44</v>
      </c>
      <c r="B83" s="360"/>
      <c r="C83" s="218"/>
      <c r="D83" s="244"/>
      <c r="E83" s="218"/>
      <c r="F83" s="219"/>
      <c r="G83" s="709">
        <f>IFERROR(INDEX(【様式３】シフト表!$AK$7:$AK$106,MATCH($M83,【様式３】シフト表!$B$7:$B$106,0),1),0)</f>
        <v>0</v>
      </c>
      <c r="H83" s="161"/>
      <c r="I83" s="343"/>
      <c r="J83" s="783" t="str">
        <f t="shared" si="21"/>
        <v>-</v>
      </c>
      <c r="K83" s="321"/>
      <c r="L83" s="271" t="b">
        <f t="shared" si="24"/>
        <v>0</v>
      </c>
      <c r="M83" s="272">
        <f>IF($E83&lt;&gt;$M$37,0,COUNTIF($E$40:E83,$M$37))</f>
        <v>0</v>
      </c>
      <c r="N83" s="272" t="b">
        <f t="shared" si="25"/>
        <v>0</v>
      </c>
      <c r="O83" s="273" t="b">
        <f t="shared" si="26"/>
        <v>1</v>
      </c>
      <c r="P83" s="195"/>
      <c r="Q83" s="301">
        <f t="shared" si="27"/>
        <v>0</v>
      </c>
      <c r="R83" s="275">
        <f t="shared" si="28"/>
        <v>0</v>
      </c>
      <c r="S83" s="301">
        <f t="shared" si="30"/>
        <v>0</v>
      </c>
      <c r="T83" s="275">
        <f t="shared" si="30"/>
        <v>0</v>
      </c>
      <c r="U83" s="275">
        <f t="shared" si="30"/>
        <v>0</v>
      </c>
      <c r="V83" s="302">
        <f t="shared" si="30"/>
        <v>0</v>
      </c>
      <c r="W83" s="279">
        <f t="shared" si="29"/>
        <v>0</v>
      </c>
      <c r="X83" s="147"/>
      <c r="Y83" s="147"/>
      <c r="Z83" s="147"/>
    </row>
    <row r="84" spans="1:26" ht="15" customHeight="1">
      <c r="A84" s="705">
        <f t="shared" si="22"/>
        <v>45</v>
      </c>
      <c r="B84" s="360"/>
      <c r="C84" s="218"/>
      <c r="D84" s="244"/>
      <c r="E84" s="218"/>
      <c r="F84" s="219"/>
      <c r="G84" s="709">
        <f>IFERROR(INDEX(【様式３】シフト表!$AK$7:$AK$106,MATCH($M84,【様式３】シフト表!$B$7:$B$106,0),1),0)</f>
        <v>0</v>
      </c>
      <c r="H84" s="161"/>
      <c r="I84" s="343"/>
      <c r="J84" s="783" t="str">
        <f t="shared" si="21"/>
        <v>-</v>
      </c>
      <c r="K84" s="321"/>
      <c r="L84" s="271" t="b">
        <f t="shared" si="24"/>
        <v>0</v>
      </c>
      <c r="M84" s="272">
        <f>IF($E84&lt;&gt;$M$37,0,COUNTIF($E$40:E84,$M$37))</f>
        <v>0</v>
      </c>
      <c r="N84" s="272" t="b">
        <f t="shared" si="25"/>
        <v>0</v>
      </c>
      <c r="O84" s="273" t="b">
        <f t="shared" si="26"/>
        <v>1</v>
      </c>
      <c r="P84" s="195"/>
      <c r="Q84" s="301">
        <f t="shared" si="27"/>
        <v>0</v>
      </c>
      <c r="R84" s="275">
        <f t="shared" si="28"/>
        <v>0</v>
      </c>
      <c r="S84" s="301">
        <f t="shared" si="30"/>
        <v>0</v>
      </c>
      <c r="T84" s="275">
        <f t="shared" si="30"/>
        <v>0</v>
      </c>
      <c r="U84" s="275">
        <f t="shared" si="30"/>
        <v>0</v>
      </c>
      <c r="V84" s="302">
        <f t="shared" si="30"/>
        <v>0</v>
      </c>
      <c r="W84" s="279">
        <f t="shared" si="29"/>
        <v>0</v>
      </c>
      <c r="X84" s="147"/>
      <c r="Y84" s="147"/>
      <c r="Z84" s="147"/>
    </row>
    <row r="85" spans="1:26" ht="15" customHeight="1">
      <c r="A85" s="705">
        <f t="shared" si="22"/>
        <v>46</v>
      </c>
      <c r="B85" s="360"/>
      <c r="C85" s="218"/>
      <c r="D85" s="244"/>
      <c r="E85" s="218"/>
      <c r="F85" s="219"/>
      <c r="G85" s="709">
        <f>IFERROR(INDEX(【様式３】シフト表!$AK$7:$AK$106,MATCH($M85,【様式３】シフト表!$B$7:$B$106,0),1),0)</f>
        <v>0</v>
      </c>
      <c r="H85" s="161"/>
      <c r="I85" s="343"/>
      <c r="J85" s="783" t="str">
        <f t="shared" si="21"/>
        <v>-</v>
      </c>
      <c r="K85" s="321"/>
      <c r="L85" s="271" t="b">
        <f t="shared" si="24"/>
        <v>0</v>
      </c>
      <c r="M85" s="272">
        <f>IF($E85&lt;&gt;$M$37,0,COUNTIF($E$40:E85,$M$37))</f>
        <v>0</v>
      </c>
      <c r="N85" s="272" t="b">
        <f t="shared" si="25"/>
        <v>0</v>
      </c>
      <c r="O85" s="273" t="b">
        <f t="shared" si="26"/>
        <v>1</v>
      </c>
      <c r="P85" s="195"/>
      <c r="Q85" s="301">
        <f t="shared" si="27"/>
        <v>0</v>
      </c>
      <c r="R85" s="275">
        <f t="shared" si="28"/>
        <v>0</v>
      </c>
      <c r="S85" s="301">
        <f t="shared" si="30"/>
        <v>0</v>
      </c>
      <c r="T85" s="275">
        <f t="shared" si="30"/>
        <v>0</v>
      </c>
      <c r="U85" s="275">
        <f t="shared" si="30"/>
        <v>0</v>
      </c>
      <c r="V85" s="302">
        <f t="shared" si="30"/>
        <v>0</v>
      </c>
      <c r="W85" s="279">
        <f t="shared" si="29"/>
        <v>0</v>
      </c>
      <c r="X85" s="147"/>
      <c r="Y85" s="147"/>
      <c r="Z85" s="147"/>
    </row>
    <row r="86" spans="1:26" ht="15" customHeight="1">
      <c r="A86" s="705">
        <f t="shared" si="22"/>
        <v>47</v>
      </c>
      <c r="B86" s="360"/>
      <c r="C86" s="218"/>
      <c r="D86" s="244"/>
      <c r="E86" s="218"/>
      <c r="F86" s="219"/>
      <c r="G86" s="709">
        <f>IFERROR(INDEX(【様式３】シフト表!$AK$7:$AK$106,MATCH($M86,【様式３】シフト表!$B$7:$B$106,0),1),0)</f>
        <v>0</v>
      </c>
      <c r="H86" s="161"/>
      <c r="I86" s="343"/>
      <c r="J86" s="783" t="str">
        <f t="shared" si="21"/>
        <v>-</v>
      </c>
      <c r="K86" s="321"/>
      <c r="L86" s="271" t="b">
        <f t="shared" si="24"/>
        <v>0</v>
      </c>
      <c r="M86" s="272">
        <f>IF($E86&lt;&gt;$M$37,0,COUNTIF($E$40:E86,$M$37))</f>
        <v>0</v>
      </c>
      <c r="N86" s="272" t="b">
        <f t="shared" si="25"/>
        <v>0</v>
      </c>
      <c r="O86" s="273" t="b">
        <f t="shared" si="26"/>
        <v>1</v>
      </c>
      <c r="P86" s="195"/>
      <c r="Q86" s="301">
        <f t="shared" si="27"/>
        <v>0</v>
      </c>
      <c r="R86" s="275">
        <f t="shared" si="28"/>
        <v>0</v>
      </c>
      <c r="S86" s="301">
        <f t="shared" si="30"/>
        <v>0</v>
      </c>
      <c r="T86" s="275">
        <f t="shared" si="30"/>
        <v>0</v>
      </c>
      <c r="U86" s="275">
        <f t="shared" si="30"/>
        <v>0</v>
      </c>
      <c r="V86" s="302">
        <f t="shared" si="30"/>
        <v>0</v>
      </c>
      <c r="W86" s="279">
        <f t="shared" si="29"/>
        <v>0</v>
      </c>
      <c r="X86" s="147"/>
      <c r="Y86" s="147"/>
      <c r="Z86" s="147"/>
    </row>
    <row r="87" spans="1:26" ht="15" customHeight="1">
      <c r="A87" s="705">
        <f t="shared" si="22"/>
        <v>48</v>
      </c>
      <c r="B87" s="360"/>
      <c r="C87" s="218"/>
      <c r="D87" s="244"/>
      <c r="E87" s="218"/>
      <c r="F87" s="219"/>
      <c r="G87" s="709">
        <f>IFERROR(INDEX(【様式３】シフト表!$AK$7:$AK$106,MATCH($M87,【様式３】シフト表!$B$7:$B$106,0),1),0)</f>
        <v>0</v>
      </c>
      <c r="H87" s="161"/>
      <c r="I87" s="343"/>
      <c r="J87" s="783" t="str">
        <f t="shared" si="21"/>
        <v>-</v>
      </c>
      <c r="K87" s="321"/>
      <c r="L87" s="271" t="b">
        <f t="shared" si="24"/>
        <v>0</v>
      </c>
      <c r="M87" s="272">
        <f>IF($E87&lt;&gt;$M$37,0,COUNTIF($E$40:E87,$M$37))</f>
        <v>0</v>
      </c>
      <c r="N87" s="272" t="b">
        <f t="shared" si="25"/>
        <v>0</v>
      </c>
      <c r="O87" s="273" t="b">
        <f t="shared" si="26"/>
        <v>1</v>
      </c>
      <c r="P87" s="195"/>
      <c r="Q87" s="301">
        <f t="shared" si="27"/>
        <v>0</v>
      </c>
      <c r="R87" s="275">
        <f t="shared" si="28"/>
        <v>0</v>
      </c>
      <c r="S87" s="301">
        <f t="shared" si="30"/>
        <v>0</v>
      </c>
      <c r="T87" s="275">
        <f t="shared" si="30"/>
        <v>0</v>
      </c>
      <c r="U87" s="275">
        <f t="shared" si="30"/>
        <v>0</v>
      </c>
      <c r="V87" s="302">
        <f t="shared" si="30"/>
        <v>0</v>
      </c>
      <c r="W87" s="279">
        <f t="shared" si="29"/>
        <v>0</v>
      </c>
      <c r="X87" s="147"/>
      <c r="Y87" s="147"/>
      <c r="Z87" s="147"/>
    </row>
    <row r="88" spans="1:26" ht="15" customHeight="1">
      <c r="A88" s="705">
        <f t="shared" si="22"/>
        <v>49</v>
      </c>
      <c r="B88" s="360"/>
      <c r="C88" s="218"/>
      <c r="D88" s="244"/>
      <c r="E88" s="218"/>
      <c r="F88" s="219"/>
      <c r="G88" s="709">
        <f>IFERROR(INDEX(【様式３】シフト表!$AK$7:$AK$106,MATCH($M88,【様式３】シフト表!$B$7:$B$106,0),1),0)</f>
        <v>0</v>
      </c>
      <c r="H88" s="161"/>
      <c r="I88" s="343"/>
      <c r="J88" s="783" t="str">
        <f t="shared" si="21"/>
        <v>-</v>
      </c>
      <c r="K88" s="321"/>
      <c r="L88" s="271" t="b">
        <f t="shared" si="24"/>
        <v>0</v>
      </c>
      <c r="M88" s="272">
        <f>IF($E88&lt;&gt;$M$37,0,COUNTIF($E$40:E88,$M$37))</f>
        <v>0</v>
      </c>
      <c r="N88" s="272" t="b">
        <f t="shared" si="25"/>
        <v>0</v>
      </c>
      <c r="O88" s="273" t="b">
        <f t="shared" si="26"/>
        <v>1</v>
      </c>
      <c r="P88" s="195"/>
      <c r="Q88" s="301">
        <f t="shared" si="27"/>
        <v>0</v>
      </c>
      <c r="R88" s="275">
        <f t="shared" si="28"/>
        <v>0</v>
      </c>
      <c r="S88" s="301">
        <f t="shared" si="30"/>
        <v>0</v>
      </c>
      <c r="T88" s="275">
        <f t="shared" si="30"/>
        <v>0</v>
      </c>
      <c r="U88" s="275">
        <f t="shared" si="30"/>
        <v>0</v>
      </c>
      <c r="V88" s="302">
        <f t="shared" si="30"/>
        <v>0</v>
      </c>
      <c r="W88" s="279">
        <f t="shared" si="29"/>
        <v>0</v>
      </c>
      <c r="X88" s="147"/>
      <c r="Y88" s="147"/>
      <c r="Z88" s="147"/>
    </row>
    <row r="89" spans="1:26" ht="15" customHeight="1">
      <c r="A89" s="705">
        <f t="shared" si="22"/>
        <v>50</v>
      </c>
      <c r="B89" s="360"/>
      <c r="C89" s="218"/>
      <c r="D89" s="244"/>
      <c r="E89" s="218"/>
      <c r="F89" s="219"/>
      <c r="G89" s="709">
        <f>IFERROR(INDEX(【様式３】シフト表!$AK$7:$AK$106,MATCH($M89,【様式３】シフト表!$B$7:$B$106,0),1),0)</f>
        <v>0</v>
      </c>
      <c r="H89" s="161"/>
      <c r="I89" s="343"/>
      <c r="J89" s="783" t="str">
        <f t="shared" si="21"/>
        <v>-</v>
      </c>
      <c r="K89" s="321"/>
      <c r="L89" s="271" t="b">
        <f t="shared" si="24"/>
        <v>0</v>
      </c>
      <c r="M89" s="272">
        <f>IF($E89&lt;&gt;$M$37,0,COUNTIF($E$40:E89,$M$37))</f>
        <v>0</v>
      </c>
      <c r="N89" s="272" t="b">
        <f t="shared" si="25"/>
        <v>0</v>
      </c>
      <c r="O89" s="273" t="b">
        <f t="shared" si="26"/>
        <v>1</v>
      </c>
      <c r="P89" s="195"/>
      <c r="Q89" s="301">
        <f t="shared" si="27"/>
        <v>0</v>
      </c>
      <c r="R89" s="275">
        <f t="shared" si="28"/>
        <v>0</v>
      </c>
      <c r="S89" s="301">
        <f t="shared" si="30"/>
        <v>0</v>
      </c>
      <c r="T89" s="275">
        <f t="shared" si="30"/>
        <v>0</v>
      </c>
      <c r="U89" s="275">
        <f t="shared" si="30"/>
        <v>0</v>
      </c>
      <c r="V89" s="302">
        <f t="shared" si="30"/>
        <v>0</v>
      </c>
      <c r="W89" s="279">
        <f t="shared" si="29"/>
        <v>0</v>
      </c>
      <c r="X89" s="147"/>
      <c r="Y89" s="147"/>
      <c r="Z89" s="147"/>
    </row>
    <row r="90" spans="1:26" ht="15" customHeight="1">
      <c r="A90" s="705">
        <f t="shared" si="22"/>
        <v>51</v>
      </c>
      <c r="B90" s="360"/>
      <c r="C90" s="218"/>
      <c r="D90" s="244"/>
      <c r="E90" s="218"/>
      <c r="F90" s="219"/>
      <c r="G90" s="709">
        <f>IFERROR(INDEX(【様式３】シフト表!$AK$7:$AK$106,MATCH($M90,【様式３】シフト表!$B$7:$B$106,0),1),0)</f>
        <v>0</v>
      </c>
      <c r="H90" s="161"/>
      <c r="I90" s="343"/>
      <c r="J90" s="783" t="str">
        <f t="shared" si="21"/>
        <v>-</v>
      </c>
      <c r="K90" s="321"/>
      <c r="L90" s="271" t="b">
        <f t="shared" si="24"/>
        <v>0</v>
      </c>
      <c r="M90" s="272">
        <f>IF($E90&lt;&gt;$M$37,0,COUNTIF($E$40:E90,$M$37))</f>
        <v>0</v>
      </c>
      <c r="N90" s="272" t="b">
        <f t="shared" si="25"/>
        <v>0</v>
      </c>
      <c r="O90" s="273" t="b">
        <f t="shared" si="26"/>
        <v>1</v>
      </c>
      <c r="P90" s="195"/>
      <c r="Q90" s="301">
        <f t="shared" si="27"/>
        <v>0</v>
      </c>
      <c r="R90" s="275">
        <f t="shared" si="28"/>
        <v>0</v>
      </c>
      <c r="S90" s="301">
        <f t="shared" si="30"/>
        <v>0</v>
      </c>
      <c r="T90" s="275">
        <f t="shared" si="30"/>
        <v>0</v>
      </c>
      <c r="U90" s="275">
        <f t="shared" si="30"/>
        <v>0</v>
      </c>
      <c r="V90" s="302">
        <f t="shared" si="30"/>
        <v>0</v>
      </c>
      <c r="W90" s="279">
        <f t="shared" si="29"/>
        <v>0</v>
      </c>
      <c r="X90" s="147"/>
      <c r="Y90" s="147"/>
      <c r="Z90" s="147"/>
    </row>
    <row r="91" spans="1:26" ht="15" customHeight="1">
      <c r="A91" s="705">
        <f t="shared" si="22"/>
        <v>52</v>
      </c>
      <c r="B91" s="360"/>
      <c r="C91" s="218"/>
      <c r="D91" s="244"/>
      <c r="E91" s="218"/>
      <c r="F91" s="219"/>
      <c r="G91" s="709">
        <f>IFERROR(INDEX(【様式３】シフト表!$AK$7:$AK$106,MATCH($M91,【様式３】シフト表!$B$7:$B$106,0),1),0)</f>
        <v>0</v>
      </c>
      <c r="H91" s="161"/>
      <c r="I91" s="343"/>
      <c r="J91" s="783" t="str">
        <f t="shared" si="21"/>
        <v>-</v>
      </c>
      <c r="K91" s="321"/>
      <c r="L91" s="271" t="b">
        <f t="shared" si="24"/>
        <v>0</v>
      </c>
      <c r="M91" s="272">
        <f>IF($E91&lt;&gt;$M$37,0,COUNTIF($E$40:E91,$M$37))</f>
        <v>0</v>
      </c>
      <c r="N91" s="272" t="b">
        <f t="shared" si="25"/>
        <v>0</v>
      </c>
      <c r="O91" s="273" t="b">
        <f t="shared" si="26"/>
        <v>1</v>
      </c>
      <c r="P91" s="195"/>
      <c r="Q91" s="301">
        <f t="shared" si="27"/>
        <v>0</v>
      </c>
      <c r="R91" s="275">
        <f t="shared" si="28"/>
        <v>0</v>
      </c>
      <c r="S91" s="301">
        <f t="shared" si="30"/>
        <v>0</v>
      </c>
      <c r="T91" s="275">
        <f t="shared" si="30"/>
        <v>0</v>
      </c>
      <c r="U91" s="275">
        <f t="shared" si="30"/>
        <v>0</v>
      </c>
      <c r="V91" s="302">
        <f t="shared" si="30"/>
        <v>0</v>
      </c>
      <c r="W91" s="279">
        <f t="shared" si="29"/>
        <v>0</v>
      </c>
      <c r="X91" s="147"/>
      <c r="Y91" s="147"/>
      <c r="Z91" s="147"/>
    </row>
    <row r="92" spans="1:26" ht="15" customHeight="1">
      <c r="A92" s="705">
        <f t="shared" si="22"/>
        <v>53</v>
      </c>
      <c r="B92" s="360"/>
      <c r="C92" s="218"/>
      <c r="D92" s="244"/>
      <c r="E92" s="218"/>
      <c r="F92" s="219"/>
      <c r="G92" s="709">
        <f>IFERROR(INDEX(【様式３】シフト表!$AK$7:$AK$106,MATCH($M92,【様式３】シフト表!$B$7:$B$106,0),1),0)</f>
        <v>0</v>
      </c>
      <c r="H92" s="161"/>
      <c r="I92" s="343"/>
      <c r="J92" s="783" t="str">
        <f t="shared" si="21"/>
        <v>-</v>
      </c>
      <c r="K92" s="321"/>
      <c r="L92" s="271" t="b">
        <f t="shared" si="24"/>
        <v>0</v>
      </c>
      <c r="M92" s="272">
        <f>IF($E92&lt;&gt;$M$37,0,COUNTIF($E$40:E92,$M$37))</f>
        <v>0</v>
      </c>
      <c r="N92" s="272" t="b">
        <f t="shared" si="25"/>
        <v>0</v>
      </c>
      <c r="O92" s="273" t="b">
        <f t="shared" si="26"/>
        <v>1</v>
      </c>
      <c r="P92" s="195"/>
      <c r="Q92" s="301">
        <f t="shared" si="27"/>
        <v>0</v>
      </c>
      <c r="R92" s="275">
        <f t="shared" si="28"/>
        <v>0</v>
      </c>
      <c r="S92" s="301">
        <f t="shared" si="30"/>
        <v>0</v>
      </c>
      <c r="T92" s="275">
        <f t="shared" si="30"/>
        <v>0</v>
      </c>
      <c r="U92" s="275">
        <f t="shared" si="30"/>
        <v>0</v>
      </c>
      <c r="V92" s="302">
        <f t="shared" si="30"/>
        <v>0</v>
      </c>
      <c r="W92" s="279">
        <f t="shared" si="29"/>
        <v>0</v>
      </c>
      <c r="X92" s="147"/>
      <c r="Y92" s="147"/>
      <c r="Z92" s="147"/>
    </row>
    <row r="93" spans="1:26" ht="15" customHeight="1">
      <c r="A93" s="705">
        <f t="shared" si="22"/>
        <v>54</v>
      </c>
      <c r="B93" s="360"/>
      <c r="C93" s="218"/>
      <c r="D93" s="244"/>
      <c r="E93" s="218"/>
      <c r="F93" s="219"/>
      <c r="G93" s="709">
        <f>IFERROR(INDEX(【様式３】シフト表!$AK$7:$AK$106,MATCH($M93,【様式３】シフト表!$B$7:$B$106,0),1),0)</f>
        <v>0</v>
      </c>
      <c r="H93" s="161"/>
      <c r="I93" s="343"/>
      <c r="J93" s="783" t="str">
        <f t="shared" si="21"/>
        <v>-</v>
      </c>
      <c r="K93" s="321"/>
      <c r="L93" s="271" t="b">
        <f t="shared" si="24"/>
        <v>0</v>
      </c>
      <c r="M93" s="272">
        <f>IF($E93&lt;&gt;$M$37,0,COUNTIF($E$40:E93,$M$37))</f>
        <v>0</v>
      </c>
      <c r="N93" s="272" t="b">
        <f t="shared" si="25"/>
        <v>0</v>
      </c>
      <c r="O93" s="273" t="b">
        <f t="shared" si="26"/>
        <v>1</v>
      </c>
      <c r="P93" s="195"/>
      <c r="Q93" s="301">
        <f t="shared" si="27"/>
        <v>0</v>
      </c>
      <c r="R93" s="275">
        <f t="shared" si="28"/>
        <v>0</v>
      </c>
      <c r="S93" s="301">
        <f t="shared" si="30"/>
        <v>0</v>
      </c>
      <c r="T93" s="275">
        <f t="shared" si="30"/>
        <v>0</v>
      </c>
      <c r="U93" s="275">
        <f t="shared" si="30"/>
        <v>0</v>
      </c>
      <c r="V93" s="302">
        <f t="shared" si="30"/>
        <v>0</v>
      </c>
      <c r="W93" s="279">
        <f t="shared" si="29"/>
        <v>0</v>
      </c>
      <c r="X93" s="147"/>
      <c r="Y93" s="147"/>
      <c r="Z93" s="147"/>
    </row>
    <row r="94" spans="1:26" ht="15" customHeight="1">
      <c r="A94" s="705">
        <f t="shared" si="22"/>
        <v>55</v>
      </c>
      <c r="B94" s="360"/>
      <c r="C94" s="218"/>
      <c r="D94" s="244"/>
      <c r="E94" s="218"/>
      <c r="F94" s="219"/>
      <c r="G94" s="709">
        <f>IFERROR(INDEX(【様式３】シフト表!$AK$7:$AK$106,MATCH($M94,【様式３】シフト表!$B$7:$B$106,0),1),0)</f>
        <v>0</v>
      </c>
      <c r="H94" s="161"/>
      <c r="I94" s="343"/>
      <c r="J94" s="783" t="str">
        <f t="shared" si="21"/>
        <v>-</v>
      </c>
      <c r="K94" s="321"/>
      <c r="L94" s="271" t="b">
        <f t="shared" si="24"/>
        <v>0</v>
      </c>
      <c r="M94" s="272">
        <f>IF($E94&lt;&gt;$M$37,0,COUNTIF($E$40:E94,$M$37))</f>
        <v>0</v>
      </c>
      <c r="N94" s="272" t="b">
        <f t="shared" si="25"/>
        <v>0</v>
      </c>
      <c r="O94" s="273" t="b">
        <f t="shared" si="26"/>
        <v>1</v>
      </c>
      <c r="P94" s="195"/>
      <c r="Q94" s="301">
        <f t="shared" si="27"/>
        <v>0</v>
      </c>
      <c r="R94" s="275">
        <f t="shared" si="28"/>
        <v>0</v>
      </c>
      <c r="S94" s="301">
        <f t="shared" si="30"/>
        <v>0</v>
      </c>
      <c r="T94" s="275">
        <f t="shared" si="30"/>
        <v>0</v>
      </c>
      <c r="U94" s="275">
        <f t="shared" si="30"/>
        <v>0</v>
      </c>
      <c r="V94" s="302">
        <f t="shared" si="30"/>
        <v>0</v>
      </c>
      <c r="W94" s="279">
        <f t="shared" si="29"/>
        <v>0</v>
      </c>
      <c r="X94" s="147"/>
      <c r="Y94" s="147"/>
      <c r="Z94" s="147"/>
    </row>
    <row r="95" spans="1:26" ht="15" customHeight="1">
      <c r="A95" s="705">
        <f t="shared" si="22"/>
        <v>56</v>
      </c>
      <c r="B95" s="360"/>
      <c r="C95" s="218"/>
      <c r="D95" s="244"/>
      <c r="E95" s="218"/>
      <c r="F95" s="219"/>
      <c r="G95" s="709">
        <f>IFERROR(INDEX(【様式３】シフト表!$AK$7:$AK$106,MATCH($M95,【様式３】シフト表!$B$7:$B$106,0),1),0)</f>
        <v>0</v>
      </c>
      <c r="H95" s="161"/>
      <c r="I95" s="343"/>
      <c r="J95" s="783" t="str">
        <f t="shared" si="21"/>
        <v>-</v>
      </c>
      <c r="K95" s="321"/>
      <c r="L95" s="271" t="b">
        <f t="shared" si="24"/>
        <v>0</v>
      </c>
      <c r="M95" s="272">
        <f>IF($E95&lt;&gt;$M$37,0,COUNTIF($E$40:E95,$M$37))</f>
        <v>0</v>
      </c>
      <c r="N95" s="272" t="b">
        <f t="shared" si="25"/>
        <v>0</v>
      </c>
      <c r="O95" s="273" t="b">
        <f t="shared" si="26"/>
        <v>1</v>
      </c>
      <c r="P95" s="195"/>
      <c r="Q95" s="301">
        <f t="shared" si="27"/>
        <v>0</v>
      </c>
      <c r="R95" s="275">
        <f t="shared" si="28"/>
        <v>0</v>
      </c>
      <c r="S95" s="301">
        <f t="shared" si="30"/>
        <v>0</v>
      </c>
      <c r="T95" s="275">
        <f t="shared" si="30"/>
        <v>0</v>
      </c>
      <c r="U95" s="275">
        <f t="shared" si="30"/>
        <v>0</v>
      </c>
      <c r="V95" s="302">
        <f t="shared" si="30"/>
        <v>0</v>
      </c>
      <c r="W95" s="279">
        <f t="shared" si="29"/>
        <v>0</v>
      </c>
      <c r="X95" s="147"/>
      <c r="Y95" s="147"/>
      <c r="Z95" s="147"/>
    </row>
    <row r="96" spans="1:26" ht="15" customHeight="1">
      <c r="A96" s="705">
        <f t="shared" si="22"/>
        <v>57</v>
      </c>
      <c r="B96" s="360"/>
      <c r="C96" s="218"/>
      <c r="D96" s="244"/>
      <c r="E96" s="218"/>
      <c r="F96" s="219"/>
      <c r="G96" s="709">
        <f>IFERROR(INDEX(【様式３】シフト表!$AK$7:$AK$106,MATCH($M96,【様式３】シフト表!$B$7:$B$106,0),1),0)</f>
        <v>0</v>
      </c>
      <c r="H96" s="161"/>
      <c r="I96" s="343"/>
      <c r="J96" s="783" t="str">
        <f t="shared" si="21"/>
        <v>-</v>
      </c>
      <c r="K96" s="321"/>
      <c r="L96" s="271" t="b">
        <f t="shared" si="24"/>
        <v>0</v>
      </c>
      <c r="M96" s="272">
        <f>IF($E96&lt;&gt;$M$37,0,COUNTIF($E$40:E96,$M$37))</f>
        <v>0</v>
      </c>
      <c r="N96" s="272" t="b">
        <f t="shared" si="25"/>
        <v>0</v>
      </c>
      <c r="O96" s="273" t="b">
        <f t="shared" si="26"/>
        <v>1</v>
      </c>
      <c r="P96" s="195"/>
      <c r="Q96" s="301">
        <f t="shared" si="27"/>
        <v>0</v>
      </c>
      <c r="R96" s="275">
        <f t="shared" si="28"/>
        <v>0</v>
      </c>
      <c r="S96" s="301">
        <f t="shared" si="30"/>
        <v>0</v>
      </c>
      <c r="T96" s="275">
        <f t="shared" si="30"/>
        <v>0</v>
      </c>
      <c r="U96" s="275">
        <f t="shared" si="30"/>
        <v>0</v>
      </c>
      <c r="V96" s="302">
        <f t="shared" si="30"/>
        <v>0</v>
      </c>
      <c r="W96" s="279">
        <f t="shared" si="29"/>
        <v>0</v>
      </c>
      <c r="X96" s="147"/>
      <c r="Y96" s="147"/>
      <c r="Z96" s="147"/>
    </row>
    <row r="97" spans="1:26" ht="15" customHeight="1">
      <c r="A97" s="705">
        <f t="shared" si="22"/>
        <v>58</v>
      </c>
      <c r="B97" s="360"/>
      <c r="C97" s="218"/>
      <c r="D97" s="244"/>
      <c r="E97" s="218"/>
      <c r="F97" s="219"/>
      <c r="G97" s="709">
        <f>IFERROR(INDEX(【様式３】シフト表!$AK$7:$AK$106,MATCH($M97,【様式３】シフト表!$B$7:$B$106,0),1),0)</f>
        <v>0</v>
      </c>
      <c r="H97" s="161"/>
      <c r="I97" s="343"/>
      <c r="J97" s="783" t="str">
        <f t="shared" si="21"/>
        <v>-</v>
      </c>
      <c r="K97" s="321"/>
      <c r="L97" s="271" t="b">
        <f t="shared" si="24"/>
        <v>0</v>
      </c>
      <c r="M97" s="272">
        <f>IF($E97&lt;&gt;$M$37,0,COUNTIF($E$40:E97,$M$37))</f>
        <v>0</v>
      </c>
      <c r="N97" s="272" t="b">
        <f t="shared" si="25"/>
        <v>0</v>
      </c>
      <c r="O97" s="273" t="b">
        <f t="shared" si="26"/>
        <v>1</v>
      </c>
      <c r="P97" s="195"/>
      <c r="Q97" s="301">
        <f t="shared" si="27"/>
        <v>0</v>
      </c>
      <c r="R97" s="275">
        <f t="shared" si="28"/>
        <v>0</v>
      </c>
      <c r="S97" s="301">
        <f t="shared" si="30"/>
        <v>0</v>
      </c>
      <c r="T97" s="275">
        <f t="shared" si="30"/>
        <v>0</v>
      </c>
      <c r="U97" s="275">
        <f t="shared" si="30"/>
        <v>0</v>
      </c>
      <c r="V97" s="302">
        <f t="shared" si="30"/>
        <v>0</v>
      </c>
      <c r="W97" s="279">
        <f t="shared" si="29"/>
        <v>0</v>
      </c>
      <c r="X97" s="147"/>
      <c r="Y97" s="147"/>
      <c r="Z97" s="147"/>
    </row>
    <row r="98" spans="1:26" ht="15" customHeight="1">
      <c r="A98" s="705">
        <f t="shared" si="22"/>
        <v>59</v>
      </c>
      <c r="B98" s="360"/>
      <c r="C98" s="218"/>
      <c r="D98" s="244"/>
      <c r="E98" s="218"/>
      <c r="F98" s="219"/>
      <c r="G98" s="709">
        <f>IFERROR(INDEX(【様式３】シフト表!$AK$7:$AK$106,MATCH($M98,【様式３】シフト表!$B$7:$B$106,0),1),0)</f>
        <v>0</v>
      </c>
      <c r="H98" s="161"/>
      <c r="I98" s="343"/>
      <c r="J98" s="783" t="str">
        <f t="shared" si="21"/>
        <v>-</v>
      </c>
      <c r="K98" s="321"/>
      <c r="L98" s="271" t="b">
        <f t="shared" si="24"/>
        <v>0</v>
      </c>
      <c r="M98" s="272">
        <f>IF($E98&lt;&gt;$M$37,0,COUNTIF($E$40:E98,$M$37))</f>
        <v>0</v>
      </c>
      <c r="N98" s="272" t="b">
        <f t="shared" si="25"/>
        <v>0</v>
      </c>
      <c r="O98" s="273" t="b">
        <f t="shared" si="26"/>
        <v>1</v>
      </c>
      <c r="P98" s="195"/>
      <c r="Q98" s="301">
        <f t="shared" si="27"/>
        <v>0</v>
      </c>
      <c r="R98" s="275">
        <f t="shared" si="28"/>
        <v>0</v>
      </c>
      <c r="S98" s="301">
        <f t="shared" si="30"/>
        <v>0</v>
      </c>
      <c r="T98" s="275">
        <f t="shared" si="30"/>
        <v>0</v>
      </c>
      <c r="U98" s="275">
        <f t="shared" si="30"/>
        <v>0</v>
      </c>
      <c r="V98" s="302">
        <f t="shared" si="30"/>
        <v>0</v>
      </c>
      <c r="W98" s="279">
        <f t="shared" si="29"/>
        <v>0</v>
      </c>
      <c r="X98" s="147"/>
      <c r="Y98" s="147"/>
      <c r="Z98" s="147"/>
    </row>
    <row r="99" spans="1:26" ht="15" customHeight="1">
      <c r="A99" s="705">
        <f t="shared" si="22"/>
        <v>60</v>
      </c>
      <c r="B99" s="360"/>
      <c r="C99" s="218"/>
      <c r="D99" s="244"/>
      <c r="E99" s="218"/>
      <c r="F99" s="219"/>
      <c r="G99" s="709">
        <f>IFERROR(INDEX(【様式３】シフト表!$AK$7:$AK$106,MATCH($M99,【様式３】シフト表!$B$7:$B$106,0),1),0)</f>
        <v>0</v>
      </c>
      <c r="H99" s="161"/>
      <c r="I99" s="343"/>
      <c r="J99" s="783" t="str">
        <f t="shared" si="21"/>
        <v>-</v>
      </c>
      <c r="K99" s="321"/>
      <c r="L99" s="271" t="b">
        <f t="shared" si="24"/>
        <v>0</v>
      </c>
      <c r="M99" s="272">
        <f>IF($E99&lt;&gt;$M$37,0,COUNTIF($E$40:E99,$M$37))</f>
        <v>0</v>
      </c>
      <c r="N99" s="272" t="b">
        <f t="shared" si="25"/>
        <v>0</v>
      </c>
      <c r="O99" s="273" t="b">
        <f t="shared" si="26"/>
        <v>1</v>
      </c>
      <c r="P99" s="195"/>
      <c r="Q99" s="301">
        <f t="shared" si="27"/>
        <v>0</v>
      </c>
      <c r="R99" s="275">
        <f t="shared" si="28"/>
        <v>0</v>
      </c>
      <c r="S99" s="301">
        <f t="shared" si="30"/>
        <v>0</v>
      </c>
      <c r="T99" s="275">
        <f t="shared" si="30"/>
        <v>0</v>
      </c>
      <c r="U99" s="275">
        <f t="shared" si="30"/>
        <v>0</v>
      </c>
      <c r="V99" s="302">
        <f t="shared" si="30"/>
        <v>0</v>
      </c>
      <c r="W99" s="279">
        <f t="shared" si="29"/>
        <v>0</v>
      </c>
      <c r="X99" s="147"/>
      <c r="Y99" s="147"/>
      <c r="Z99" s="147"/>
    </row>
    <row r="100" spans="1:26" ht="15" customHeight="1">
      <c r="A100" s="705">
        <f t="shared" si="22"/>
        <v>61</v>
      </c>
      <c r="B100" s="360"/>
      <c r="C100" s="218"/>
      <c r="D100" s="244"/>
      <c r="E100" s="218"/>
      <c r="F100" s="219"/>
      <c r="G100" s="709">
        <f>IFERROR(INDEX(【様式３】シフト表!$AK$7:$AK$106,MATCH($M100,【様式３】シフト表!$B$7:$B$106,0),1),0)</f>
        <v>0</v>
      </c>
      <c r="H100" s="161"/>
      <c r="I100" s="343"/>
      <c r="J100" s="783" t="str">
        <f t="shared" si="21"/>
        <v>-</v>
      </c>
      <c r="K100" s="321"/>
      <c r="L100" s="271" t="b">
        <f t="shared" si="24"/>
        <v>0</v>
      </c>
      <c r="M100" s="272">
        <f>IF($E100&lt;&gt;$M$37,0,COUNTIF($E$40:E100,$M$37))</f>
        <v>0</v>
      </c>
      <c r="N100" s="272" t="b">
        <f t="shared" si="25"/>
        <v>0</v>
      </c>
      <c r="O100" s="273" t="b">
        <f t="shared" si="26"/>
        <v>1</v>
      </c>
      <c r="P100" s="195"/>
      <c r="Q100" s="301">
        <f t="shared" si="27"/>
        <v>0</v>
      </c>
      <c r="R100" s="275">
        <f t="shared" si="28"/>
        <v>0</v>
      </c>
      <c r="S100" s="301">
        <f t="shared" ref="S100:V119" si="31">IF(AND($E100=S$36,$F100=S$37),$J100,0)</f>
        <v>0</v>
      </c>
      <c r="T100" s="275">
        <f t="shared" si="31"/>
        <v>0</v>
      </c>
      <c r="U100" s="275">
        <f t="shared" si="31"/>
        <v>0</v>
      </c>
      <c r="V100" s="302">
        <f t="shared" si="31"/>
        <v>0</v>
      </c>
      <c r="W100" s="279">
        <f t="shared" si="29"/>
        <v>0</v>
      </c>
      <c r="X100" s="147"/>
      <c r="Y100" s="147"/>
      <c r="Z100" s="147"/>
    </row>
    <row r="101" spans="1:26" ht="15" customHeight="1">
      <c r="A101" s="705">
        <f t="shared" si="22"/>
        <v>62</v>
      </c>
      <c r="B101" s="360"/>
      <c r="C101" s="218"/>
      <c r="D101" s="244"/>
      <c r="E101" s="218"/>
      <c r="F101" s="219"/>
      <c r="G101" s="709">
        <f>IFERROR(INDEX(【様式３】シフト表!$AK$7:$AK$106,MATCH($M101,【様式３】シフト表!$B$7:$B$106,0),1),0)</f>
        <v>0</v>
      </c>
      <c r="H101" s="161"/>
      <c r="I101" s="343"/>
      <c r="J101" s="783" t="str">
        <f t="shared" si="21"/>
        <v>-</v>
      </c>
      <c r="K101" s="321"/>
      <c r="L101" s="271" t="b">
        <f t="shared" si="24"/>
        <v>0</v>
      </c>
      <c r="M101" s="272">
        <f>IF($E101&lt;&gt;$M$37,0,COUNTIF($E$40:E101,$M$37))</f>
        <v>0</v>
      </c>
      <c r="N101" s="272" t="b">
        <f t="shared" si="25"/>
        <v>0</v>
      </c>
      <c r="O101" s="273" t="b">
        <f t="shared" si="26"/>
        <v>1</v>
      </c>
      <c r="P101" s="195"/>
      <c r="Q101" s="301">
        <f t="shared" si="27"/>
        <v>0</v>
      </c>
      <c r="R101" s="275">
        <f t="shared" si="28"/>
        <v>0</v>
      </c>
      <c r="S101" s="301">
        <f t="shared" si="31"/>
        <v>0</v>
      </c>
      <c r="T101" s="275">
        <f t="shared" si="31"/>
        <v>0</v>
      </c>
      <c r="U101" s="275">
        <f t="shared" si="31"/>
        <v>0</v>
      </c>
      <c r="V101" s="302">
        <f t="shared" si="31"/>
        <v>0</v>
      </c>
      <c r="W101" s="279">
        <f t="shared" si="29"/>
        <v>0</v>
      </c>
      <c r="X101" s="147"/>
      <c r="Y101" s="147"/>
      <c r="Z101" s="147"/>
    </row>
    <row r="102" spans="1:26" ht="15" customHeight="1">
      <c r="A102" s="705">
        <f t="shared" si="22"/>
        <v>63</v>
      </c>
      <c r="B102" s="360"/>
      <c r="C102" s="218"/>
      <c r="D102" s="244"/>
      <c r="E102" s="218"/>
      <c r="F102" s="219"/>
      <c r="G102" s="709">
        <f>IFERROR(INDEX(【様式３】シフト表!$AK$7:$AK$106,MATCH($M102,【様式３】シフト表!$B$7:$B$106,0),1),0)</f>
        <v>0</v>
      </c>
      <c r="H102" s="161"/>
      <c r="I102" s="343"/>
      <c r="J102" s="783" t="str">
        <f t="shared" si="21"/>
        <v>-</v>
      </c>
      <c r="K102" s="321"/>
      <c r="L102" s="271" t="b">
        <f t="shared" si="24"/>
        <v>0</v>
      </c>
      <c r="M102" s="272">
        <f>IF($E102&lt;&gt;$M$37,0,COUNTIF($E$40:E102,$M$37))</f>
        <v>0</v>
      </c>
      <c r="N102" s="272" t="b">
        <f t="shared" si="25"/>
        <v>0</v>
      </c>
      <c r="O102" s="273" t="b">
        <f t="shared" si="26"/>
        <v>1</v>
      </c>
      <c r="P102" s="195"/>
      <c r="Q102" s="301">
        <f t="shared" si="27"/>
        <v>0</v>
      </c>
      <c r="R102" s="275">
        <f t="shared" si="28"/>
        <v>0</v>
      </c>
      <c r="S102" s="301">
        <f t="shared" si="31"/>
        <v>0</v>
      </c>
      <c r="T102" s="275">
        <f t="shared" si="31"/>
        <v>0</v>
      </c>
      <c r="U102" s="275">
        <f t="shared" si="31"/>
        <v>0</v>
      </c>
      <c r="V102" s="302">
        <f t="shared" si="31"/>
        <v>0</v>
      </c>
      <c r="W102" s="279">
        <f t="shared" si="29"/>
        <v>0</v>
      </c>
      <c r="X102" s="147"/>
      <c r="Y102" s="147"/>
      <c r="Z102" s="147"/>
    </row>
    <row r="103" spans="1:26" ht="15" customHeight="1">
      <c r="A103" s="705">
        <f t="shared" si="22"/>
        <v>64</v>
      </c>
      <c r="B103" s="360"/>
      <c r="C103" s="218"/>
      <c r="D103" s="244"/>
      <c r="E103" s="218"/>
      <c r="F103" s="219"/>
      <c r="G103" s="709">
        <f>IFERROR(INDEX(【様式３】シフト表!$AK$7:$AK$106,MATCH($M103,【様式３】シフト表!$B$7:$B$106,0),1),0)</f>
        <v>0</v>
      </c>
      <c r="H103" s="161"/>
      <c r="I103" s="343"/>
      <c r="J103" s="783" t="str">
        <f t="shared" si="21"/>
        <v>-</v>
      </c>
      <c r="K103" s="321"/>
      <c r="L103" s="271" t="b">
        <f t="shared" si="24"/>
        <v>0</v>
      </c>
      <c r="M103" s="272">
        <f>IF($E103&lt;&gt;$M$37,0,COUNTIF($E$40:E103,$M$37))</f>
        <v>0</v>
      </c>
      <c r="N103" s="272" t="b">
        <f t="shared" si="25"/>
        <v>0</v>
      </c>
      <c r="O103" s="273" t="b">
        <f t="shared" si="26"/>
        <v>1</v>
      </c>
      <c r="P103" s="195"/>
      <c r="Q103" s="301">
        <f t="shared" si="27"/>
        <v>0</v>
      </c>
      <c r="R103" s="275">
        <f t="shared" si="28"/>
        <v>0</v>
      </c>
      <c r="S103" s="301">
        <f t="shared" si="31"/>
        <v>0</v>
      </c>
      <c r="T103" s="275">
        <f t="shared" si="31"/>
        <v>0</v>
      </c>
      <c r="U103" s="275">
        <f t="shared" si="31"/>
        <v>0</v>
      </c>
      <c r="V103" s="302">
        <f t="shared" si="31"/>
        <v>0</v>
      </c>
      <c r="W103" s="279">
        <f t="shared" si="29"/>
        <v>0</v>
      </c>
      <c r="X103" s="147"/>
      <c r="Y103" s="147"/>
      <c r="Z103" s="147"/>
    </row>
    <row r="104" spans="1:26" ht="15" customHeight="1">
      <c r="A104" s="705">
        <f t="shared" si="22"/>
        <v>65</v>
      </c>
      <c r="B104" s="360"/>
      <c r="C104" s="218"/>
      <c r="D104" s="244"/>
      <c r="E104" s="218"/>
      <c r="F104" s="219"/>
      <c r="G104" s="709">
        <f>IFERROR(INDEX(【様式３】シフト表!$AK$7:$AK$106,MATCH($M104,【様式３】シフト表!$B$7:$B$106,0),1),0)</f>
        <v>0</v>
      </c>
      <c r="H104" s="161"/>
      <c r="I104" s="343"/>
      <c r="J104" s="783" t="str">
        <f t="shared" si="21"/>
        <v>-</v>
      </c>
      <c r="K104" s="321"/>
      <c r="L104" s="271" t="b">
        <f t="shared" ref="L104:L139" si="32">$D104=$L$37</f>
        <v>0</v>
      </c>
      <c r="M104" s="272">
        <f>IF($E104&lt;&gt;$M$37,0,COUNTIF($E$40:E104,$M$37))</f>
        <v>0</v>
      </c>
      <c r="N104" s="272" t="b">
        <f t="shared" ref="N104:N139" si="33">OR($H104&gt;$H$38,AND($E104=$AA$28,$F104&lt;&gt;$AB$28,$F104&lt;&gt;$AB$29,$F104&lt;&gt;$AB$30,$F104&lt;&gt;$AB$31),AND($E104=$AA$29,$F104&lt;&gt;$AC$28,$F104&lt;&gt;$AC$29,$F104&lt;&gt;$AC$30,$F104&lt;&gt;$AC$31))</f>
        <v>0</v>
      </c>
      <c r="O104" s="273" t="b">
        <f t="shared" ref="O104:O139" si="34">OR($B104=0,$C104=0,$E104=0,AND($E104&lt;&gt;0,$F104=0),AND($E104=O$37,$G104=0),$H104=0)</f>
        <v>1</v>
      </c>
      <c r="P104" s="195"/>
      <c r="Q104" s="301">
        <f t="shared" ref="Q104:Q139" si="35">IF($E104=Q$36,1,0)</f>
        <v>0</v>
      </c>
      <c r="R104" s="275">
        <f t="shared" ref="R104:R139" si="36">IF($E104=R$36,$G104,0)</f>
        <v>0</v>
      </c>
      <c r="S104" s="301">
        <f t="shared" si="31"/>
        <v>0</v>
      </c>
      <c r="T104" s="275">
        <f t="shared" si="31"/>
        <v>0</v>
      </c>
      <c r="U104" s="275">
        <f t="shared" si="31"/>
        <v>0</v>
      </c>
      <c r="V104" s="302">
        <f t="shared" si="31"/>
        <v>0</v>
      </c>
      <c r="W104" s="279">
        <f t="shared" ref="W104:W139" si="37">IF($E104=W$36,$J104,0)</f>
        <v>0</v>
      </c>
      <c r="X104" s="147"/>
      <c r="Y104" s="147"/>
      <c r="Z104" s="147"/>
    </row>
    <row r="105" spans="1:26" ht="15" customHeight="1">
      <c r="A105" s="705">
        <f t="shared" si="22"/>
        <v>66</v>
      </c>
      <c r="B105" s="360"/>
      <c r="C105" s="218"/>
      <c r="D105" s="244"/>
      <c r="E105" s="218"/>
      <c r="F105" s="219"/>
      <c r="G105" s="709">
        <f>IFERROR(INDEX(【様式３】シフト表!$AK$7:$AK$106,MATCH($M105,【様式３】シフト表!$B$7:$B$106,0),1),0)</f>
        <v>0</v>
      </c>
      <c r="H105" s="161"/>
      <c r="I105" s="343"/>
      <c r="J105" s="783" t="str">
        <f t="shared" ref="J105:J139" si="38">IF(L105,IF(OR(O105,N105),"エラー",IF($C105=$Y$29,$Y$30,C105)),"-")</f>
        <v>-</v>
      </c>
      <c r="K105" s="321"/>
      <c r="L105" s="271" t="b">
        <f t="shared" si="32"/>
        <v>0</v>
      </c>
      <c r="M105" s="272">
        <f>IF($E105&lt;&gt;$M$37,0,COUNTIF($E$40:E105,$M$37))</f>
        <v>0</v>
      </c>
      <c r="N105" s="272" t="b">
        <f t="shared" si="33"/>
        <v>0</v>
      </c>
      <c r="O105" s="273" t="b">
        <f t="shared" si="34"/>
        <v>1</v>
      </c>
      <c r="P105" s="195"/>
      <c r="Q105" s="301">
        <f t="shared" si="35"/>
        <v>0</v>
      </c>
      <c r="R105" s="275">
        <f t="shared" si="36"/>
        <v>0</v>
      </c>
      <c r="S105" s="301">
        <f t="shared" si="31"/>
        <v>0</v>
      </c>
      <c r="T105" s="275">
        <f t="shared" si="31"/>
        <v>0</v>
      </c>
      <c r="U105" s="275">
        <f t="shared" si="31"/>
        <v>0</v>
      </c>
      <c r="V105" s="302">
        <f t="shared" si="31"/>
        <v>0</v>
      </c>
      <c r="W105" s="279">
        <f t="shared" si="37"/>
        <v>0</v>
      </c>
      <c r="X105" s="147"/>
      <c r="Y105" s="147"/>
      <c r="Z105" s="147"/>
    </row>
    <row r="106" spans="1:26" ht="15" customHeight="1">
      <c r="A106" s="705">
        <f t="shared" ref="A106:A139" si="39">A105+1</f>
        <v>67</v>
      </c>
      <c r="B106" s="360"/>
      <c r="C106" s="218"/>
      <c r="D106" s="244"/>
      <c r="E106" s="218"/>
      <c r="F106" s="219"/>
      <c r="G106" s="709">
        <f>IFERROR(INDEX(【様式３】シフト表!$AK$7:$AK$106,MATCH($M106,【様式３】シフト表!$B$7:$B$106,0),1),0)</f>
        <v>0</v>
      </c>
      <c r="H106" s="161"/>
      <c r="I106" s="343"/>
      <c r="J106" s="783" t="str">
        <f t="shared" si="38"/>
        <v>-</v>
      </c>
      <c r="K106" s="321"/>
      <c r="L106" s="271" t="b">
        <f t="shared" si="32"/>
        <v>0</v>
      </c>
      <c r="M106" s="272">
        <f>IF($E106&lt;&gt;$M$37,0,COUNTIF($E$40:E106,$M$37))</f>
        <v>0</v>
      </c>
      <c r="N106" s="272" t="b">
        <f t="shared" si="33"/>
        <v>0</v>
      </c>
      <c r="O106" s="273" t="b">
        <f t="shared" si="34"/>
        <v>1</v>
      </c>
      <c r="P106" s="195"/>
      <c r="Q106" s="301">
        <f t="shared" si="35"/>
        <v>0</v>
      </c>
      <c r="R106" s="275">
        <f t="shared" si="36"/>
        <v>0</v>
      </c>
      <c r="S106" s="301">
        <f t="shared" si="31"/>
        <v>0</v>
      </c>
      <c r="T106" s="275">
        <f t="shared" si="31"/>
        <v>0</v>
      </c>
      <c r="U106" s="275">
        <f t="shared" si="31"/>
        <v>0</v>
      </c>
      <c r="V106" s="302">
        <f t="shared" si="31"/>
        <v>0</v>
      </c>
      <c r="W106" s="279">
        <f t="shared" si="37"/>
        <v>0</v>
      </c>
      <c r="X106" s="147"/>
      <c r="Y106" s="147"/>
      <c r="Z106" s="147"/>
    </row>
    <row r="107" spans="1:26" ht="15" customHeight="1">
      <c r="A107" s="705">
        <f t="shared" si="39"/>
        <v>68</v>
      </c>
      <c r="B107" s="360"/>
      <c r="C107" s="218"/>
      <c r="D107" s="244"/>
      <c r="E107" s="218"/>
      <c r="F107" s="219"/>
      <c r="G107" s="709">
        <f>IFERROR(INDEX(【様式３】シフト表!$AK$7:$AK$106,MATCH($M107,【様式３】シフト表!$B$7:$B$106,0),1),0)</f>
        <v>0</v>
      </c>
      <c r="H107" s="161"/>
      <c r="I107" s="343"/>
      <c r="J107" s="783" t="str">
        <f t="shared" si="38"/>
        <v>-</v>
      </c>
      <c r="K107" s="321"/>
      <c r="L107" s="271" t="b">
        <f t="shared" si="32"/>
        <v>0</v>
      </c>
      <c r="M107" s="272">
        <f>IF($E107&lt;&gt;$M$37,0,COUNTIF($E$40:E107,$M$37))</f>
        <v>0</v>
      </c>
      <c r="N107" s="272" t="b">
        <f t="shared" si="33"/>
        <v>0</v>
      </c>
      <c r="O107" s="273" t="b">
        <f t="shared" si="34"/>
        <v>1</v>
      </c>
      <c r="P107" s="195"/>
      <c r="Q107" s="301">
        <f t="shared" si="35"/>
        <v>0</v>
      </c>
      <c r="R107" s="275">
        <f t="shared" si="36"/>
        <v>0</v>
      </c>
      <c r="S107" s="301">
        <f t="shared" si="31"/>
        <v>0</v>
      </c>
      <c r="T107" s="275">
        <f t="shared" si="31"/>
        <v>0</v>
      </c>
      <c r="U107" s="275">
        <f t="shared" si="31"/>
        <v>0</v>
      </c>
      <c r="V107" s="302">
        <f t="shared" si="31"/>
        <v>0</v>
      </c>
      <c r="W107" s="279">
        <f t="shared" si="37"/>
        <v>0</v>
      </c>
      <c r="X107" s="147"/>
      <c r="Y107" s="147"/>
      <c r="Z107" s="147"/>
    </row>
    <row r="108" spans="1:26" ht="15" customHeight="1">
      <c r="A108" s="705">
        <f t="shared" si="39"/>
        <v>69</v>
      </c>
      <c r="B108" s="360"/>
      <c r="C108" s="218"/>
      <c r="D108" s="244"/>
      <c r="E108" s="218"/>
      <c r="F108" s="219"/>
      <c r="G108" s="709">
        <f>IFERROR(INDEX(【様式３】シフト表!$AK$7:$AK$106,MATCH($M108,【様式３】シフト表!$B$7:$B$106,0),1),0)</f>
        <v>0</v>
      </c>
      <c r="H108" s="161"/>
      <c r="I108" s="343"/>
      <c r="J108" s="783" t="str">
        <f t="shared" si="38"/>
        <v>-</v>
      </c>
      <c r="K108" s="321"/>
      <c r="L108" s="271" t="b">
        <f t="shared" si="32"/>
        <v>0</v>
      </c>
      <c r="M108" s="272">
        <f>IF($E108&lt;&gt;$M$37,0,COUNTIF($E$40:E108,$M$37))</f>
        <v>0</v>
      </c>
      <c r="N108" s="272" t="b">
        <f t="shared" si="33"/>
        <v>0</v>
      </c>
      <c r="O108" s="273" t="b">
        <f t="shared" si="34"/>
        <v>1</v>
      </c>
      <c r="P108" s="195"/>
      <c r="Q108" s="301">
        <f t="shared" si="35"/>
        <v>0</v>
      </c>
      <c r="R108" s="275">
        <f t="shared" si="36"/>
        <v>0</v>
      </c>
      <c r="S108" s="301">
        <f t="shared" si="31"/>
        <v>0</v>
      </c>
      <c r="T108" s="275">
        <f t="shared" si="31"/>
        <v>0</v>
      </c>
      <c r="U108" s="275">
        <f t="shared" si="31"/>
        <v>0</v>
      </c>
      <c r="V108" s="302">
        <f t="shared" si="31"/>
        <v>0</v>
      </c>
      <c r="W108" s="279">
        <f t="shared" si="37"/>
        <v>0</v>
      </c>
      <c r="X108" s="147"/>
      <c r="Y108" s="147"/>
      <c r="Z108" s="147"/>
    </row>
    <row r="109" spans="1:26" ht="15" customHeight="1">
      <c r="A109" s="705">
        <f t="shared" si="39"/>
        <v>70</v>
      </c>
      <c r="B109" s="360"/>
      <c r="C109" s="218"/>
      <c r="D109" s="244"/>
      <c r="E109" s="218"/>
      <c r="F109" s="219"/>
      <c r="G109" s="709">
        <f>IFERROR(INDEX(【様式３】シフト表!$AK$7:$AK$106,MATCH($M109,【様式３】シフト表!$B$7:$B$106,0),1),0)</f>
        <v>0</v>
      </c>
      <c r="H109" s="161"/>
      <c r="I109" s="343"/>
      <c r="J109" s="783" t="str">
        <f t="shared" si="38"/>
        <v>-</v>
      </c>
      <c r="K109" s="321"/>
      <c r="L109" s="271" t="b">
        <f t="shared" si="32"/>
        <v>0</v>
      </c>
      <c r="M109" s="272">
        <f>IF($E109&lt;&gt;$M$37,0,COUNTIF($E$40:E109,$M$37))</f>
        <v>0</v>
      </c>
      <c r="N109" s="272" t="b">
        <f t="shared" si="33"/>
        <v>0</v>
      </c>
      <c r="O109" s="273" t="b">
        <f t="shared" si="34"/>
        <v>1</v>
      </c>
      <c r="P109" s="195"/>
      <c r="Q109" s="301">
        <f t="shared" si="35"/>
        <v>0</v>
      </c>
      <c r="R109" s="275">
        <f t="shared" si="36"/>
        <v>0</v>
      </c>
      <c r="S109" s="301">
        <f t="shared" si="31"/>
        <v>0</v>
      </c>
      <c r="T109" s="275">
        <f t="shared" si="31"/>
        <v>0</v>
      </c>
      <c r="U109" s="275">
        <f t="shared" si="31"/>
        <v>0</v>
      </c>
      <c r="V109" s="302">
        <f t="shared" si="31"/>
        <v>0</v>
      </c>
      <c r="W109" s="279">
        <f t="shared" si="37"/>
        <v>0</v>
      </c>
      <c r="X109" s="147"/>
      <c r="Y109" s="147"/>
      <c r="Z109" s="147"/>
    </row>
    <row r="110" spans="1:26" ht="15" customHeight="1">
      <c r="A110" s="705">
        <f t="shared" si="39"/>
        <v>71</v>
      </c>
      <c r="B110" s="360"/>
      <c r="C110" s="218"/>
      <c r="D110" s="244"/>
      <c r="E110" s="218"/>
      <c r="F110" s="219"/>
      <c r="G110" s="709">
        <f>IFERROR(INDEX(【様式３】シフト表!$AK$7:$AK$106,MATCH($M110,【様式３】シフト表!$B$7:$B$106,0),1),0)</f>
        <v>0</v>
      </c>
      <c r="H110" s="161"/>
      <c r="I110" s="343"/>
      <c r="J110" s="783" t="str">
        <f t="shared" si="38"/>
        <v>-</v>
      </c>
      <c r="K110" s="321"/>
      <c r="L110" s="271" t="b">
        <f t="shared" si="32"/>
        <v>0</v>
      </c>
      <c r="M110" s="272">
        <f>IF($E110&lt;&gt;$M$37,0,COUNTIF($E$40:E110,$M$37))</f>
        <v>0</v>
      </c>
      <c r="N110" s="272" t="b">
        <f t="shared" si="33"/>
        <v>0</v>
      </c>
      <c r="O110" s="273" t="b">
        <f t="shared" si="34"/>
        <v>1</v>
      </c>
      <c r="P110" s="195"/>
      <c r="Q110" s="301">
        <f t="shared" si="35"/>
        <v>0</v>
      </c>
      <c r="R110" s="275">
        <f t="shared" si="36"/>
        <v>0</v>
      </c>
      <c r="S110" s="301">
        <f t="shared" si="31"/>
        <v>0</v>
      </c>
      <c r="T110" s="275">
        <f t="shared" si="31"/>
        <v>0</v>
      </c>
      <c r="U110" s="275">
        <f t="shared" si="31"/>
        <v>0</v>
      </c>
      <c r="V110" s="302">
        <f t="shared" si="31"/>
        <v>0</v>
      </c>
      <c r="W110" s="279">
        <f t="shared" si="37"/>
        <v>0</v>
      </c>
      <c r="X110" s="147"/>
      <c r="Y110" s="147"/>
      <c r="Z110" s="147"/>
    </row>
    <row r="111" spans="1:26" ht="15" customHeight="1">
      <c r="A111" s="705">
        <f t="shared" si="39"/>
        <v>72</v>
      </c>
      <c r="B111" s="360"/>
      <c r="C111" s="218"/>
      <c r="D111" s="244"/>
      <c r="E111" s="218"/>
      <c r="F111" s="219"/>
      <c r="G111" s="709">
        <f>IFERROR(INDEX(【様式３】シフト表!$AK$7:$AK$106,MATCH($M111,【様式３】シフト表!$B$7:$B$106,0),1),0)</f>
        <v>0</v>
      </c>
      <c r="H111" s="161"/>
      <c r="I111" s="343"/>
      <c r="J111" s="783" t="str">
        <f t="shared" si="38"/>
        <v>-</v>
      </c>
      <c r="K111" s="321"/>
      <c r="L111" s="271" t="b">
        <f t="shared" si="32"/>
        <v>0</v>
      </c>
      <c r="M111" s="272">
        <f>IF($E111&lt;&gt;$M$37,0,COUNTIF($E$40:E111,$M$37))</f>
        <v>0</v>
      </c>
      <c r="N111" s="272" t="b">
        <f t="shared" si="33"/>
        <v>0</v>
      </c>
      <c r="O111" s="273" t="b">
        <f t="shared" si="34"/>
        <v>1</v>
      </c>
      <c r="P111" s="195"/>
      <c r="Q111" s="301">
        <f t="shared" si="35"/>
        <v>0</v>
      </c>
      <c r="R111" s="275">
        <f t="shared" si="36"/>
        <v>0</v>
      </c>
      <c r="S111" s="301">
        <f t="shared" si="31"/>
        <v>0</v>
      </c>
      <c r="T111" s="275">
        <f t="shared" si="31"/>
        <v>0</v>
      </c>
      <c r="U111" s="275">
        <f t="shared" si="31"/>
        <v>0</v>
      </c>
      <c r="V111" s="302">
        <f t="shared" si="31"/>
        <v>0</v>
      </c>
      <c r="W111" s="279">
        <f t="shared" si="37"/>
        <v>0</v>
      </c>
      <c r="X111" s="147"/>
      <c r="Y111" s="147"/>
      <c r="Z111" s="147"/>
    </row>
    <row r="112" spans="1:26" ht="15" customHeight="1">
      <c r="A112" s="705">
        <f t="shared" si="39"/>
        <v>73</v>
      </c>
      <c r="B112" s="360"/>
      <c r="C112" s="218"/>
      <c r="D112" s="244"/>
      <c r="E112" s="218"/>
      <c r="F112" s="219"/>
      <c r="G112" s="709">
        <f>IFERROR(INDEX(【様式３】シフト表!$AK$7:$AK$106,MATCH($M112,【様式３】シフト表!$B$7:$B$106,0),1),0)</f>
        <v>0</v>
      </c>
      <c r="H112" s="161"/>
      <c r="I112" s="343"/>
      <c r="J112" s="783" t="str">
        <f t="shared" si="38"/>
        <v>-</v>
      </c>
      <c r="K112" s="321"/>
      <c r="L112" s="271" t="b">
        <f t="shared" si="32"/>
        <v>0</v>
      </c>
      <c r="M112" s="272">
        <f>IF($E112&lt;&gt;$M$37,0,COUNTIF($E$40:E112,$M$37))</f>
        <v>0</v>
      </c>
      <c r="N112" s="272" t="b">
        <f t="shared" si="33"/>
        <v>0</v>
      </c>
      <c r="O112" s="273" t="b">
        <f t="shared" si="34"/>
        <v>1</v>
      </c>
      <c r="P112" s="195"/>
      <c r="Q112" s="301">
        <f t="shared" si="35"/>
        <v>0</v>
      </c>
      <c r="R112" s="275">
        <f t="shared" si="36"/>
        <v>0</v>
      </c>
      <c r="S112" s="301">
        <f t="shared" si="31"/>
        <v>0</v>
      </c>
      <c r="T112" s="275">
        <f t="shared" si="31"/>
        <v>0</v>
      </c>
      <c r="U112" s="275">
        <f t="shared" si="31"/>
        <v>0</v>
      </c>
      <c r="V112" s="302">
        <f t="shared" si="31"/>
        <v>0</v>
      </c>
      <c r="W112" s="279">
        <f t="shared" si="37"/>
        <v>0</v>
      </c>
      <c r="X112" s="147"/>
      <c r="Y112" s="147"/>
      <c r="Z112" s="147"/>
    </row>
    <row r="113" spans="1:26" ht="15" customHeight="1">
      <c r="A113" s="705">
        <f t="shared" si="39"/>
        <v>74</v>
      </c>
      <c r="B113" s="360"/>
      <c r="C113" s="218"/>
      <c r="D113" s="244"/>
      <c r="E113" s="218"/>
      <c r="F113" s="219"/>
      <c r="G113" s="709">
        <f>IFERROR(INDEX(【様式３】シフト表!$AK$7:$AK$106,MATCH($M113,【様式３】シフト表!$B$7:$B$106,0),1),0)</f>
        <v>0</v>
      </c>
      <c r="H113" s="161"/>
      <c r="I113" s="343"/>
      <c r="J113" s="783" t="str">
        <f t="shared" si="38"/>
        <v>-</v>
      </c>
      <c r="K113" s="321"/>
      <c r="L113" s="271" t="b">
        <f t="shared" si="32"/>
        <v>0</v>
      </c>
      <c r="M113" s="272">
        <f>IF($E113&lt;&gt;$M$37,0,COUNTIF($E$40:E113,$M$37))</f>
        <v>0</v>
      </c>
      <c r="N113" s="272" t="b">
        <f t="shared" si="33"/>
        <v>0</v>
      </c>
      <c r="O113" s="273" t="b">
        <f t="shared" si="34"/>
        <v>1</v>
      </c>
      <c r="P113" s="195"/>
      <c r="Q113" s="301">
        <f t="shared" si="35"/>
        <v>0</v>
      </c>
      <c r="R113" s="275">
        <f t="shared" si="36"/>
        <v>0</v>
      </c>
      <c r="S113" s="301">
        <f t="shared" si="31"/>
        <v>0</v>
      </c>
      <c r="T113" s="275">
        <f t="shared" si="31"/>
        <v>0</v>
      </c>
      <c r="U113" s="275">
        <f t="shared" si="31"/>
        <v>0</v>
      </c>
      <c r="V113" s="302">
        <f t="shared" si="31"/>
        <v>0</v>
      </c>
      <c r="W113" s="279">
        <f t="shared" si="37"/>
        <v>0</v>
      </c>
      <c r="X113" s="147"/>
      <c r="Y113" s="147"/>
      <c r="Z113" s="147"/>
    </row>
    <row r="114" spans="1:26" ht="15" customHeight="1">
      <c r="A114" s="705">
        <f t="shared" si="39"/>
        <v>75</v>
      </c>
      <c r="B114" s="360"/>
      <c r="C114" s="218"/>
      <c r="D114" s="244"/>
      <c r="E114" s="218"/>
      <c r="F114" s="219"/>
      <c r="G114" s="709">
        <f>IFERROR(INDEX(【様式３】シフト表!$AK$7:$AK$106,MATCH($M114,【様式３】シフト表!$B$7:$B$106,0),1),0)</f>
        <v>0</v>
      </c>
      <c r="H114" s="161"/>
      <c r="I114" s="343"/>
      <c r="J114" s="783" t="str">
        <f t="shared" si="38"/>
        <v>-</v>
      </c>
      <c r="K114" s="321"/>
      <c r="L114" s="271" t="b">
        <f t="shared" si="32"/>
        <v>0</v>
      </c>
      <c r="M114" s="272">
        <f>IF($E114&lt;&gt;$M$37,0,COUNTIF($E$40:E114,$M$37))</f>
        <v>0</v>
      </c>
      <c r="N114" s="272" t="b">
        <f t="shared" si="33"/>
        <v>0</v>
      </c>
      <c r="O114" s="273" t="b">
        <f t="shared" si="34"/>
        <v>1</v>
      </c>
      <c r="P114" s="195"/>
      <c r="Q114" s="301">
        <f t="shared" si="35"/>
        <v>0</v>
      </c>
      <c r="R114" s="275">
        <f t="shared" si="36"/>
        <v>0</v>
      </c>
      <c r="S114" s="301">
        <f t="shared" si="31"/>
        <v>0</v>
      </c>
      <c r="T114" s="275">
        <f t="shared" si="31"/>
        <v>0</v>
      </c>
      <c r="U114" s="275">
        <f t="shared" si="31"/>
        <v>0</v>
      </c>
      <c r="V114" s="302">
        <f t="shared" si="31"/>
        <v>0</v>
      </c>
      <c r="W114" s="279">
        <f t="shared" si="37"/>
        <v>0</v>
      </c>
      <c r="X114" s="147"/>
      <c r="Y114" s="147"/>
      <c r="Z114" s="147"/>
    </row>
    <row r="115" spans="1:26" ht="15" customHeight="1">
      <c r="A115" s="705">
        <f t="shared" si="39"/>
        <v>76</v>
      </c>
      <c r="B115" s="360"/>
      <c r="C115" s="218"/>
      <c r="D115" s="244"/>
      <c r="E115" s="218"/>
      <c r="F115" s="219"/>
      <c r="G115" s="709">
        <f>IFERROR(INDEX(【様式３】シフト表!$AK$7:$AK$106,MATCH($M115,【様式３】シフト表!$B$7:$B$106,0),1),0)</f>
        <v>0</v>
      </c>
      <c r="H115" s="161"/>
      <c r="I115" s="343"/>
      <c r="J115" s="783" t="str">
        <f t="shared" si="38"/>
        <v>-</v>
      </c>
      <c r="K115" s="321"/>
      <c r="L115" s="271" t="b">
        <f t="shared" si="32"/>
        <v>0</v>
      </c>
      <c r="M115" s="272">
        <f>IF($E115&lt;&gt;$M$37,0,COUNTIF($E$40:E115,$M$37))</f>
        <v>0</v>
      </c>
      <c r="N115" s="272" t="b">
        <f t="shared" si="33"/>
        <v>0</v>
      </c>
      <c r="O115" s="273" t="b">
        <f t="shared" si="34"/>
        <v>1</v>
      </c>
      <c r="P115" s="195"/>
      <c r="Q115" s="301">
        <f t="shared" si="35"/>
        <v>0</v>
      </c>
      <c r="R115" s="275">
        <f t="shared" si="36"/>
        <v>0</v>
      </c>
      <c r="S115" s="301">
        <f t="shared" si="31"/>
        <v>0</v>
      </c>
      <c r="T115" s="275">
        <f t="shared" si="31"/>
        <v>0</v>
      </c>
      <c r="U115" s="275">
        <f t="shared" si="31"/>
        <v>0</v>
      </c>
      <c r="V115" s="302">
        <f t="shared" si="31"/>
        <v>0</v>
      </c>
      <c r="W115" s="279">
        <f t="shared" si="37"/>
        <v>0</v>
      </c>
      <c r="X115" s="147"/>
      <c r="Y115" s="147"/>
      <c r="Z115" s="147"/>
    </row>
    <row r="116" spans="1:26" ht="15" customHeight="1">
      <c r="A116" s="705">
        <f t="shared" si="39"/>
        <v>77</v>
      </c>
      <c r="B116" s="360"/>
      <c r="C116" s="218"/>
      <c r="D116" s="244"/>
      <c r="E116" s="218"/>
      <c r="F116" s="219"/>
      <c r="G116" s="709">
        <f>IFERROR(INDEX(【様式３】シフト表!$AK$7:$AK$106,MATCH($M116,【様式３】シフト表!$B$7:$B$106,0),1),0)</f>
        <v>0</v>
      </c>
      <c r="H116" s="161"/>
      <c r="I116" s="343"/>
      <c r="J116" s="783" t="str">
        <f t="shared" si="38"/>
        <v>-</v>
      </c>
      <c r="K116" s="321"/>
      <c r="L116" s="271" t="b">
        <f t="shared" si="32"/>
        <v>0</v>
      </c>
      <c r="M116" s="272">
        <f>IF($E116&lt;&gt;$M$37,0,COUNTIF($E$40:E116,$M$37))</f>
        <v>0</v>
      </c>
      <c r="N116" s="272" t="b">
        <f t="shared" si="33"/>
        <v>0</v>
      </c>
      <c r="O116" s="273" t="b">
        <f t="shared" si="34"/>
        <v>1</v>
      </c>
      <c r="P116" s="195"/>
      <c r="Q116" s="301">
        <f t="shared" si="35"/>
        <v>0</v>
      </c>
      <c r="R116" s="275">
        <f t="shared" si="36"/>
        <v>0</v>
      </c>
      <c r="S116" s="301">
        <f t="shared" si="31"/>
        <v>0</v>
      </c>
      <c r="T116" s="275">
        <f t="shared" si="31"/>
        <v>0</v>
      </c>
      <c r="U116" s="275">
        <f t="shared" si="31"/>
        <v>0</v>
      </c>
      <c r="V116" s="302">
        <f t="shared" si="31"/>
        <v>0</v>
      </c>
      <c r="W116" s="279">
        <f t="shared" si="37"/>
        <v>0</v>
      </c>
      <c r="X116" s="147"/>
      <c r="Y116" s="147"/>
      <c r="Z116" s="147"/>
    </row>
    <row r="117" spans="1:26" ht="15" customHeight="1">
      <c r="A117" s="705">
        <f t="shared" si="39"/>
        <v>78</v>
      </c>
      <c r="B117" s="360"/>
      <c r="C117" s="218"/>
      <c r="D117" s="244"/>
      <c r="E117" s="218"/>
      <c r="F117" s="219"/>
      <c r="G117" s="709">
        <f>IFERROR(INDEX(【様式３】シフト表!$AK$7:$AK$106,MATCH($M117,【様式３】シフト表!$B$7:$B$106,0),1),0)</f>
        <v>0</v>
      </c>
      <c r="H117" s="161"/>
      <c r="I117" s="343"/>
      <c r="J117" s="783" t="str">
        <f t="shared" si="38"/>
        <v>-</v>
      </c>
      <c r="K117" s="321"/>
      <c r="L117" s="271" t="b">
        <f t="shared" si="32"/>
        <v>0</v>
      </c>
      <c r="M117" s="272">
        <f>IF($E117&lt;&gt;$M$37,0,COUNTIF($E$40:E117,$M$37))</f>
        <v>0</v>
      </c>
      <c r="N117" s="272" t="b">
        <f t="shared" si="33"/>
        <v>0</v>
      </c>
      <c r="O117" s="273" t="b">
        <f t="shared" si="34"/>
        <v>1</v>
      </c>
      <c r="P117" s="195"/>
      <c r="Q117" s="301">
        <f t="shared" si="35"/>
        <v>0</v>
      </c>
      <c r="R117" s="275">
        <f t="shared" si="36"/>
        <v>0</v>
      </c>
      <c r="S117" s="301">
        <f t="shared" si="31"/>
        <v>0</v>
      </c>
      <c r="T117" s="275">
        <f t="shared" si="31"/>
        <v>0</v>
      </c>
      <c r="U117" s="275">
        <f t="shared" si="31"/>
        <v>0</v>
      </c>
      <c r="V117" s="302">
        <f t="shared" si="31"/>
        <v>0</v>
      </c>
      <c r="W117" s="279">
        <f t="shared" si="37"/>
        <v>0</v>
      </c>
      <c r="X117" s="147"/>
      <c r="Y117" s="147"/>
      <c r="Z117" s="147"/>
    </row>
    <row r="118" spans="1:26" ht="15" customHeight="1">
      <c r="A118" s="705">
        <f t="shared" si="39"/>
        <v>79</v>
      </c>
      <c r="B118" s="360"/>
      <c r="C118" s="218"/>
      <c r="D118" s="244"/>
      <c r="E118" s="218"/>
      <c r="F118" s="219"/>
      <c r="G118" s="709">
        <f>IFERROR(INDEX(【様式３】シフト表!$AK$7:$AK$106,MATCH($M118,【様式３】シフト表!$B$7:$B$106,0),1),0)</f>
        <v>0</v>
      </c>
      <c r="H118" s="161"/>
      <c r="I118" s="343"/>
      <c r="J118" s="783" t="str">
        <f t="shared" si="38"/>
        <v>-</v>
      </c>
      <c r="K118" s="321"/>
      <c r="L118" s="271" t="b">
        <f t="shared" si="32"/>
        <v>0</v>
      </c>
      <c r="M118" s="272">
        <f>IF($E118&lt;&gt;$M$37,0,COUNTIF($E$40:E118,$M$37))</f>
        <v>0</v>
      </c>
      <c r="N118" s="272" t="b">
        <f t="shared" si="33"/>
        <v>0</v>
      </c>
      <c r="O118" s="273" t="b">
        <f t="shared" si="34"/>
        <v>1</v>
      </c>
      <c r="P118" s="195"/>
      <c r="Q118" s="301">
        <f t="shared" si="35"/>
        <v>0</v>
      </c>
      <c r="R118" s="275">
        <f t="shared" si="36"/>
        <v>0</v>
      </c>
      <c r="S118" s="301">
        <f t="shared" si="31"/>
        <v>0</v>
      </c>
      <c r="T118" s="275">
        <f t="shared" si="31"/>
        <v>0</v>
      </c>
      <c r="U118" s="275">
        <f t="shared" si="31"/>
        <v>0</v>
      </c>
      <c r="V118" s="302">
        <f t="shared" si="31"/>
        <v>0</v>
      </c>
      <c r="W118" s="279">
        <f t="shared" si="37"/>
        <v>0</v>
      </c>
      <c r="X118" s="147"/>
      <c r="Y118" s="147"/>
      <c r="Z118" s="147"/>
    </row>
    <row r="119" spans="1:26" ht="15" customHeight="1">
      <c r="A119" s="705">
        <f t="shared" si="39"/>
        <v>80</v>
      </c>
      <c r="B119" s="360"/>
      <c r="C119" s="218"/>
      <c r="D119" s="244"/>
      <c r="E119" s="218"/>
      <c r="F119" s="219"/>
      <c r="G119" s="709">
        <f>IFERROR(INDEX(【様式３】シフト表!$AK$7:$AK$106,MATCH($M119,【様式３】シフト表!$B$7:$B$106,0),1),0)</f>
        <v>0</v>
      </c>
      <c r="H119" s="161"/>
      <c r="I119" s="343"/>
      <c r="J119" s="783" t="str">
        <f t="shared" si="38"/>
        <v>-</v>
      </c>
      <c r="K119" s="321"/>
      <c r="L119" s="271" t="b">
        <f t="shared" si="32"/>
        <v>0</v>
      </c>
      <c r="M119" s="272">
        <f>IF($E119&lt;&gt;$M$37,0,COUNTIF($E$40:E119,$M$37))</f>
        <v>0</v>
      </c>
      <c r="N119" s="272" t="b">
        <f t="shared" si="33"/>
        <v>0</v>
      </c>
      <c r="O119" s="273" t="b">
        <f t="shared" si="34"/>
        <v>1</v>
      </c>
      <c r="P119" s="195"/>
      <c r="Q119" s="301">
        <f t="shared" si="35"/>
        <v>0</v>
      </c>
      <c r="R119" s="275">
        <f t="shared" si="36"/>
        <v>0</v>
      </c>
      <c r="S119" s="301">
        <f t="shared" si="31"/>
        <v>0</v>
      </c>
      <c r="T119" s="275">
        <f t="shared" si="31"/>
        <v>0</v>
      </c>
      <c r="U119" s="275">
        <f t="shared" si="31"/>
        <v>0</v>
      </c>
      <c r="V119" s="302">
        <f t="shared" si="31"/>
        <v>0</v>
      </c>
      <c r="W119" s="279">
        <f t="shared" si="37"/>
        <v>0</v>
      </c>
      <c r="X119" s="147"/>
      <c r="Y119" s="147"/>
      <c r="Z119" s="147"/>
    </row>
    <row r="120" spans="1:26" ht="15" customHeight="1">
      <c r="A120" s="705">
        <f t="shared" si="39"/>
        <v>81</v>
      </c>
      <c r="B120" s="360"/>
      <c r="C120" s="218"/>
      <c r="D120" s="244"/>
      <c r="E120" s="218"/>
      <c r="F120" s="219"/>
      <c r="G120" s="709">
        <f>IFERROR(INDEX(【様式３】シフト表!$AK$7:$AK$106,MATCH($M120,【様式３】シフト表!$B$7:$B$106,0),1),0)</f>
        <v>0</v>
      </c>
      <c r="H120" s="161"/>
      <c r="I120" s="343"/>
      <c r="J120" s="783" t="str">
        <f t="shared" si="38"/>
        <v>-</v>
      </c>
      <c r="K120" s="321"/>
      <c r="L120" s="271" t="b">
        <f t="shared" si="32"/>
        <v>0</v>
      </c>
      <c r="M120" s="272">
        <f>IF($E120&lt;&gt;$M$37,0,COUNTIF($E$40:E120,$M$37))</f>
        <v>0</v>
      </c>
      <c r="N120" s="272" t="b">
        <f t="shared" si="33"/>
        <v>0</v>
      </c>
      <c r="O120" s="273" t="b">
        <f t="shared" si="34"/>
        <v>1</v>
      </c>
      <c r="P120" s="195"/>
      <c r="Q120" s="301">
        <f t="shared" si="35"/>
        <v>0</v>
      </c>
      <c r="R120" s="275">
        <f t="shared" si="36"/>
        <v>0</v>
      </c>
      <c r="S120" s="301">
        <f t="shared" ref="S120:V139" si="40">IF(AND($E120=S$36,$F120=S$37),$J120,0)</f>
        <v>0</v>
      </c>
      <c r="T120" s="275">
        <f t="shared" si="40"/>
        <v>0</v>
      </c>
      <c r="U120" s="275">
        <f t="shared" si="40"/>
        <v>0</v>
      </c>
      <c r="V120" s="302">
        <f t="shared" si="40"/>
        <v>0</v>
      </c>
      <c r="W120" s="279">
        <f t="shared" si="37"/>
        <v>0</v>
      </c>
      <c r="X120" s="147"/>
      <c r="Y120" s="147"/>
      <c r="Z120" s="147"/>
    </row>
    <row r="121" spans="1:26" ht="15" customHeight="1">
      <c r="A121" s="705">
        <f t="shared" si="39"/>
        <v>82</v>
      </c>
      <c r="B121" s="360"/>
      <c r="C121" s="218"/>
      <c r="D121" s="244"/>
      <c r="E121" s="218"/>
      <c r="F121" s="219"/>
      <c r="G121" s="709">
        <f>IFERROR(INDEX(【様式３】シフト表!$AK$7:$AK$106,MATCH($M121,【様式３】シフト表!$B$7:$B$106,0),1),0)</f>
        <v>0</v>
      </c>
      <c r="H121" s="161"/>
      <c r="I121" s="343"/>
      <c r="J121" s="783" t="str">
        <f t="shared" si="38"/>
        <v>-</v>
      </c>
      <c r="K121" s="321"/>
      <c r="L121" s="271" t="b">
        <f t="shared" si="32"/>
        <v>0</v>
      </c>
      <c r="M121" s="272">
        <f>IF($E121&lt;&gt;$M$37,0,COUNTIF($E$40:E121,$M$37))</f>
        <v>0</v>
      </c>
      <c r="N121" s="272" t="b">
        <f t="shared" si="33"/>
        <v>0</v>
      </c>
      <c r="O121" s="273" t="b">
        <f t="shared" si="34"/>
        <v>1</v>
      </c>
      <c r="P121" s="195"/>
      <c r="Q121" s="301">
        <f t="shared" si="35"/>
        <v>0</v>
      </c>
      <c r="R121" s="275">
        <f t="shared" si="36"/>
        <v>0</v>
      </c>
      <c r="S121" s="301">
        <f t="shared" si="40"/>
        <v>0</v>
      </c>
      <c r="T121" s="275">
        <f t="shared" si="40"/>
        <v>0</v>
      </c>
      <c r="U121" s="275">
        <f t="shared" si="40"/>
        <v>0</v>
      </c>
      <c r="V121" s="302">
        <f t="shared" si="40"/>
        <v>0</v>
      </c>
      <c r="W121" s="279">
        <f t="shared" si="37"/>
        <v>0</v>
      </c>
      <c r="X121" s="147"/>
      <c r="Y121" s="147"/>
      <c r="Z121" s="147"/>
    </row>
    <row r="122" spans="1:26" ht="15" customHeight="1">
      <c r="A122" s="705">
        <f t="shared" si="39"/>
        <v>83</v>
      </c>
      <c r="B122" s="360"/>
      <c r="C122" s="218"/>
      <c r="D122" s="244"/>
      <c r="E122" s="218"/>
      <c r="F122" s="219"/>
      <c r="G122" s="709">
        <f>IFERROR(INDEX(【様式３】シフト表!$AK$7:$AK$106,MATCH($M122,【様式３】シフト表!$B$7:$B$106,0),1),0)</f>
        <v>0</v>
      </c>
      <c r="H122" s="161"/>
      <c r="I122" s="343"/>
      <c r="J122" s="783" t="str">
        <f t="shared" si="38"/>
        <v>-</v>
      </c>
      <c r="K122" s="321"/>
      <c r="L122" s="271" t="b">
        <f t="shared" si="32"/>
        <v>0</v>
      </c>
      <c r="M122" s="272">
        <f>IF($E122&lt;&gt;$M$37,0,COUNTIF($E$40:E122,$M$37))</f>
        <v>0</v>
      </c>
      <c r="N122" s="272" t="b">
        <f t="shared" si="33"/>
        <v>0</v>
      </c>
      <c r="O122" s="273" t="b">
        <f t="shared" si="34"/>
        <v>1</v>
      </c>
      <c r="P122" s="195"/>
      <c r="Q122" s="301">
        <f t="shared" si="35"/>
        <v>0</v>
      </c>
      <c r="R122" s="275">
        <f t="shared" si="36"/>
        <v>0</v>
      </c>
      <c r="S122" s="301">
        <f t="shared" si="40"/>
        <v>0</v>
      </c>
      <c r="T122" s="275">
        <f t="shared" si="40"/>
        <v>0</v>
      </c>
      <c r="U122" s="275">
        <f t="shared" si="40"/>
        <v>0</v>
      </c>
      <c r="V122" s="302">
        <f t="shared" si="40"/>
        <v>0</v>
      </c>
      <c r="W122" s="279">
        <f t="shared" si="37"/>
        <v>0</v>
      </c>
      <c r="X122" s="147"/>
      <c r="Y122" s="147"/>
      <c r="Z122" s="147"/>
    </row>
    <row r="123" spans="1:26" ht="15" customHeight="1">
      <c r="A123" s="705">
        <f t="shared" si="39"/>
        <v>84</v>
      </c>
      <c r="B123" s="360"/>
      <c r="C123" s="218"/>
      <c r="D123" s="244"/>
      <c r="E123" s="218"/>
      <c r="F123" s="219"/>
      <c r="G123" s="709">
        <f>IFERROR(INDEX(【様式３】シフト表!$AK$7:$AK$106,MATCH($M123,【様式３】シフト表!$B$7:$B$106,0),1),0)</f>
        <v>0</v>
      </c>
      <c r="H123" s="161"/>
      <c r="I123" s="343"/>
      <c r="J123" s="783" t="str">
        <f t="shared" si="38"/>
        <v>-</v>
      </c>
      <c r="K123" s="321"/>
      <c r="L123" s="271" t="b">
        <f t="shared" si="32"/>
        <v>0</v>
      </c>
      <c r="M123" s="272">
        <f>IF($E123&lt;&gt;$M$37,0,COUNTIF($E$40:E123,$M$37))</f>
        <v>0</v>
      </c>
      <c r="N123" s="272" t="b">
        <f t="shared" si="33"/>
        <v>0</v>
      </c>
      <c r="O123" s="273" t="b">
        <f t="shared" si="34"/>
        <v>1</v>
      </c>
      <c r="P123" s="195"/>
      <c r="Q123" s="301">
        <f t="shared" si="35"/>
        <v>0</v>
      </c>
      <c r="R123" s="275">
        <f t="shared" si="36"/>
        <v>0</v>
      </c>
      <c r="S123" s="301">
        <f t="shared" si="40"/>
        <v>0</v>
      </c>
      <c r="T123" s="275">
        <f t="shared" si="40"/>
        <v>0</v>
      </c>
      <c r="U123" s="275">
        <f t="shared" si="40"/>
        <v>0</v>
      </c>
      <c r="V123" s="302">
        <f t="shared" si="40"/>
        <v>0</v>
      </c>
      <c r="W123" s="279">
        <f t="shared" si="37"/>
        <v>0</v>
      </c>
      <c r="X123" s="147"/>
      <c r="Y123" s="147"/>
      <c r="Z123" s="147"/>
    </row>
    <row r="124" spans="1:26" ht="15" customHeight="1">
      <c r="A124" s="705">
        <f t="shared" si="39"/>
        <v>85</v>
      </c>
      <c r="B124" s="360"/>
      <c r="C124" s="218"/>
      <c r="D124" s="244"/>
      <c r="E124" s="218"/>
      <c r="F124" s="219"/>
      <c r="G124" s="709">
        <f>IFERROR(INDEX(【様式３】シフト表!$AK$7:$AK$106,MATCH($M124,【様式３】シフト表!$B$7:$B$106,0),1),0)</f>
        <v>0</v>
      </c>
      <c r="H124" s="161"/>
      <c r="I124" s="343"/>
      <c r="J124" s="783" t="str">
        <f t="shared" si="38"/>
        <v>-</v>
      </c>
      <c r="K124" s="321"/>
      <c r="L124" s="271" t="b">
        <f t="shared" si="32"/>
        <v>0</v>
      </c>
      <c r="M124" s="272">
        <f>IF($E124&lt;&gt;$M$37,0,COUNTIF($E$40:E124,$M$37))</f>
        <v>0</v>
      </c>
      <c r="N124" s="272" t="b">
        <f t="shared" si="33"/>
        <v>0</v>
      </c>
      <c r="O124" s="273" t="b">
        <f t="shared" si="34"/>
        <v>1</v>
      </c>
      <c r="P124" s="195"/>
      <c r="Q124" s="301">
        <f t="shared" si="35"/>
        <v>0</v>
      </c>
      <c r="R124" s="275">
        <f t="shared" si="36"/>
        <v>0</v>
      </c>
      <c r="S124" s="301">
        <f t="shared" si="40"/>
        <v>0</v>
      </c>
      <c r="T124" s="275">
        <f t="shared" si="40"/>
        <v>0</v>
      </c>
      <c r="U124" s="275">
        <f t="shared" si="40"/>
        <v>0</v>
      </c>
      <c r="V124" s="302">
        <f t="shared" si="40"/>
        <v>0</v>
      </c>
      <c r="W124" s="279">
        <f t="shared" si="37"/>
        <v>0</v>
      </c>
      <c r="X124" s="147"/>
      <c r="Y124" s="147"/>
      <c r="Z124" s="147"/>
    </row>
    <row r="125" spans="1:26" ht="15" customHeight="1">
      <c r="A125" s="705">
        <f t="shared" si="39"/>
        <v>86</v>
      </c>
      <c r="B125" s="360"/>
      <c r="C125" s="218"/>
      <c r="D125" s="244"/>
      <c r="E125" s="218"/>
      <c r="F125" s="219"/>
      <c r="G125" s="709">
        <f>IFERROR(INDEX(【様式３】シフト表!$AK$7:$AK$106,MATCH($M125,【様式３】シフト表!$B$7:$B$106,0),1),0)</f>
        <v>0</v>
      </c>
      <c r="H125" s="161"/>
      <c r="I125" s="343"/>
      <c r="J125" s="783" t="str">
        <f t="shared" si="38"/>
        <v>-</v>
      </c>
      <c r="K125" s="321"/>
      <c r="L125" s="271" t="b">
        <f t="shared" si="32"/>
        <v>0</v>
      </c>
      <c r="M125" s="272">
        <f>IF($E125&lt;&gt;$M$37,0,COUNTIF($E$40:E125,$M$37))</f>
        <v>0</v>
      </c>
      <c r="N125" s="272" t="b">
        <f t="shared" si="33"/>
        <v>0</v>
      </c>
      <c r="O125" s="273" t="b">
        <f t="shared" si="34"/>
        <v>1</v>
      </c>
      <c r="P125" s="195"/>
      <c r="Q125" s="301">
        <f t="shared" si="35"/>
        <v>0</v>
      </c>
      <c r="R125" s="275">
        <f t="shared" si="36"/>
        <v>0</v>
      </c>
      <c r="S125" s="301">
        <f t="shared" si="40"/>
        <v>0</v>
      </c>
      <c r="T125" s="275">
        <f t="shared" si="40"/>
        <v>0</v>
      </c>
      <c r="U125" s="275">
        <f t="shared" si="40"/>
        <v>0</v>
      </c>
      <c r="V125" s="302">
        <f t="shared" si="40"/>
        <v>0</v>
      </c>
      <c r="W125" s="279">
        <f t="shared" si="37"/>
        <v>0</v>
      </c>
      <c r="X125" s="147"/>
      <c r="Y125" s="147"/>
      <c r="Z125" s="147"/>
    </row>
    <row r="126" spans="1:26" ht="15" customHeight="1">
      <c r="A126" s="705">
        <f t="shared" si="39"/>
        <v>87</v>
      </c>
      <c r="B126" s="360"/>
      <c r="C126" s="218"/>
      <c r="D126" s="244"/>
      <c r="E126" s="218"/>
      <c r="F126" s="219"/>
      <c r="G126" s="709">
        <f>IFERROR(INDEX(【様式３】シフト表!$AK$7:$AK$106,MATCH($M126,【様式３】シフト表!$B$7:$B$106,0),1),0)</f>
        <v>0</v>
      </c>
      <c r="H126" s="161"/>
      <c r="I126" s="343"/>
      <c r="J126" s="783" t="str">
        <f t="shared" si="38"/>
        <v>-</v>
      </c>
      <c r="K126" s="321"/>
      <c r="L126" s="271" t="b">
        <f t="shared" si="32"/>
        <v>0</v>
      </c>
      <c r="M126" s="272">
        <f>IF($E126&lt;&gt;$M$37,0,COUNTIF($E$40:E126,$M$37))</f>
        <v>0</v>
      </c>
      <c r="N126" s="272" t="b">
        <f t="shared" si="33"/>
        <v>0</v>
      </c>
      <c r="O126" s="273" t="b">
        <f t="shared" si="34"/>
        <v>1</v>
      </c>
      <c r="P126" s="195"/>
      <c r="Q126" s="301">
        <f t="shared" si="35"/>
        <v>0</v>
      </c>
      <c r="R126" s="275">
        <f t="shared" si="36"/>
        <v>0</v>
      </c>
      <c r="S126" s="301">
        <f t="shared" si="40"/>
        <v>0</v>
      </c>
      <c r="T126" s="275">
        <f t="shared" si="40"/>
        <v>0</v>
      </c>
      <c r="U126" s="275">
        <f t="shared" si="40"/>
        <v>0</v>
      </c>
      <c r="V126" s="302">
        <f t="shared" si="40"/>
        <v>0</v>
      </c>
      <c r="W126" s="279">
        <f t="shared" si="37"/>
        <v>0</v>
      </c>
      <c r="X126" s="147"/>
      <c r="Y126" s="147"/>
      <c r="Z126" s="147"/>
    </row>
    <row r="127" spans="1:26" ht="15" customHeight="1">
      <c r="A127" s="705">
        <f t="shared" si="39"/>
        <v>88</v>
      </c>
      <c r="B127" s="360"/>
      <c r="C127" s="218"/>
      <c r="D127" s="244"/>
      <c r="E127" s="218"/>
      <c r="F127" s="219"/>
      <c r="G127" s="709">
        <f>IFERROR(INDEX(【様式３】シフト表!$AK$7:$AK$106,MATCH($M127,【様式３】シフト表!$B$7:$B$106,0),1),0)</f>
        <v>0</v>
      </c>
      <c r="H127" s="161"/>
      <c r="I127" s="343"/>
      <c r="J127" s="783" t="str">
        <f t="shared" si="38"/>
        <v>-</v>
      </c>
      <c r="K127" s="321"/>
      <c r="L127" s="271" t="b">
        <f t="shared" si="32"/>
        <v>0</v>
      </c>
      <c r="M127" s="272">
        <f>IF($E127&lt;&gt;$M$37,0,COUNTIF($E$40:E127,$M$37))</f>
        <v>0</v>
      </c>
      <c r="N127" s="272" t="b">
        <f t="shared" si="33"/>
        <v>0</v>
      </c>
      <c r="O127" s="273" t="b">
        <f t="shared" si="34"/>
        <v>1</v>
      </c>
      <c r="P127" s="195"/>
      <c r="Q127" s="301">
        <f t="shared" si="35"/>
        <v>0</v>
      </c>
      <c r="R127" s="275">
        <f t="shared" si="36"/>
        <v>0</v>
      </c>
      <c r="S127" s="301">
        <f t="shared" si="40"/>
        <v>0</v>
      </c>
      <c r="T127" s="275">
        <f t="shared" si="40"/>
        <v>0</v>
      </c>
      <c r="U127" s="275">
        <f t="shared" si="40"/>
        <v>0</v>
      </c>
      <c r="V127" s="302">
        <f t="shared" si="40"/>
        <v>0</v>
      </c>
      <c r="W127" s="279">
        <f t="shared" si="37"/>
        <v>0</v>
      </c>
      <c r="X127" s="147"/>
      <c r="Y127" s="147"/>
      <c r="Z127" s="147"/>
    </row>
    <row r="128" spans="1:26" ht="15" customHeight="1">
      <c r="A128" s="705">
        <f t="shared" si="39"/>
        <v>89</v>
      </c>
      <c r="B128" s="360"/>
      <c r="C128" s="218"/>
      <c r="D128" s="244"/>
      <c r="E128" s="218"/>
      <c r="F128" s="219"/>
      <c r="G128" s="709">
        <f>IFERROR(INDEX(【様式３】シフト表!$AK$7:$AK$106,MATCH($M128,【様式３】シフト表!$B$7:$B$106,0),1),0)</f>
        <v>0</v>
      </c>
      <c r="H128" s="161"/>
      <c r="I128" s="343"/>
      <c r="J128" s="783" t="str">
        <f t="shared" si="38"/>
        <v>-</v>
      </c>
      <c r="K128" s="321"/>
      <c r="L128" s="271" t="b">
        <f t="shared" si="32"/>
        <v>0</v>
      </c>
      <c r="M128" s="272">
        <f>IF($E128&lt;&gt;$M$37,0,COUNTIF($E$40:E128,$M$37))</f>
        <v>0</v>
      </c>
      <c r="N128" s="272" t="b">
        <f t="shared" si="33"/>
        <v>0</v>
      </c>
      <c r="O128" s="273" t="b">
        <f t="shared" si="34"/>
        <v>1</v>
      </c>
      <c r="P128" s="195"/>
      <c r="Q128" s="301">
        <f t="shared" si="35"/>
        <v>0</v>
      </c>
      <c r="R128" s="275">
        <f t="shared" si="36"/>
        <v>0</v>
      </c>
      <c r="S128" s="301">
        <f t="shared" si="40"/>
        <v>0</v>
      </c>
      <c r="T128" s="275">
        <f t="shared" si="40"/>
        <v>0</v>
      </c>
      <c r="U128" s="275">
        <f t="shared" si="40"/>
        <v>0</v>
      </c>
      <c r="V128" s="302">
        <f t="shared" si="40"/>
        <v>0</v>
      </c>
      <c r="W128" s="279">
        <f t="shared" si="37"/>
        <v>0</v>
      </c>
      <c r="X128" s="147"/>
      <c r="Y128" s="147"/>
      <c r="Z128" s="147"/>
    </row>
    <row r="129" spans="1:26" ht="15" customHeight="1">
      <c r="A129" s="705">
        <f t="shared" si="39"/>
        <v>90</v>
      </c>
      <c r="B129" s="360"/>
      <c r="C129" s="218"/>
      <c r="D129" s="244"/>
      <c r="E129" s="218"/>
      <c r="F129" s="219"/>
      <c r="G129" s="709">
        <f>IFERROR(INDEX(【様式３】シフト表!$AK$7:$AK$106,MATCH($M129,【様式３】シフト表!$B$7:$B$106,0),1),0)</f>
        <v>0</v>
      </c>
      <c r="H129" s="161"/>
      <c r="I129" s="343"/>
      <c r="J129" s="783" t="str">
        <f t="shared" si="38"/>
        <v>-</v>
      </c>
      <c r="K129" s="321"/>
      <c r="L129" s="271" t="b">
        <f t="shared" si="32"/>
        <v>0</v>
      </c>
      <c r="M129" s="272">
        <f>IF($E129&lt;&gt;$M$37,0,COUNTIF($E$40:E129,$M$37))</f>
        <v>0</v>
      </c>
      <c r="N129" s="272" t="b">
        <f t="shared" si="33"/>
        <v>0</v>
      </c>
      <c r="O129" s="273" t="b">
        <f t="shared" si="34"/>
        <v>1</v>
      </c>
      <c r="P129" s="195"/>
      <c r="Q129" s="301">
        <f t="shared" si="35"/>
        <v>0</v>
      </c>
      <c r="R129" s="275">
        <f t="shared" si="36"/>
        <v>0</v>
      </c>
      <c r="S129" s="301">
        <f t="shared" si="40"/>
        <v>0</v>
      </c>
      <c r="T129" s="275">
        <f t="shared" si="40"/>
        <v>0</v>
      </c>
      <c r="U129" s="275">
        <f t="shared" si="40"/>
        <v>0</v>
      </c>
      <c r="V129" s="302">
        <f t="shared" si="40"/>
        <v>0</v>
      </c>
      <c r="W129" s="279">
        <f t="shared" si="37"/>
        <v>0</v>
      </c>
      <c r="X129" s="147"/>
      <c r="Y129" s="147"/>
      <c r="Z129" s="147"/>
    </row>
    <row r="130" spans="1:26" ht="15" customHeight="1">
      <c r="A130" s="705">
        <f t="shared" si="39"/>
        <v>91</v>
      </c>
      <c r="B130" s="360"/>
      <c r="C130" s="218"/>
      <c r="D130" s="244"/>
      <c r="E130" s="218"/>
      <c r="F130" s="219"/>
      <c r="G130" s="709">
        <f>IFERROR(INDEX(【様式３】シフト表!$AK$7:$AK$106,MATCH($M130,【様式３】シフト表!$B$7:$B$106,0),1),0)</f>
        <v>0</v>
      </c>
      <c r="H130" s="161"/>
      <c r="I130" s="343"/>
      <c r="J130" s="783" t="str">
        <f t="shared" si="38"/>
        <v>-</v>
      </c>
      <c r="K130" s="321"/>
      <c r="L130" s="271" t="b">
        <f t="shared" si="32"/>
        <v>0</v>
      </c>
      <c r="M130" s="272">
        <f>IF($E130&lt;&gt;$M$37,0,COUNTIF($E$40:E130,$M$37))</f>
        <v>0</v>
      </c>
      <c r="N130" s="272" t="b">
        <f t="shared" si="33"/>
        <v>0</v>
      </c>
      <c r="O130" s="273" t="b">
        <f t="shared" si="34"/>
        <v>1</v>
      </c>
      <c r="P130" s="195"/>
      <c r="Q130" s="301">
        <f t="shared" si="35"/>
        <v>0</v>
      </c>
      <c r="R130" s="275">
        <f t="shared" si="36"/>
        <v>0</v>
      </c>
      <c r="S130" s="301">
        <f t="shared" si="40"/>
        <v>0</v>
      </c>
      <c r="T130" s="275">
        <f t="shared" si="40"/>
        <v>0</v>
      </c>
      <c r="U130" s="275">
        <f t="shared" si="40"/>
        <v>0</v>
      </c>
      <c r="V130" s="302">
        <f t="shared" si="40"/>
        <v>0</v>
      </c>
      <c r="W130" s="279">
        <f t="shared" si="37"/>
        <v>0</v>
      </c>
      <c r="X130" s="147"/>
      <c r="Y130" s="147"/>
      <c r="Z130" s="147"/>
    </row>
    <row r="131" spans="1:26" ht="15" customHeight="1">
      <c r="A131" s="705">
        <f t="shared" si="39"/>
        <v>92</v>
      </c>
      <c r="B131" s="360"/>
      <c r="C131" s="218"/>
      <c r="D131" s="244"/>
      <c r="E131" s="218"/>
      <c r="F131" s="219"/>
      <c r="G131" s="709">
        <f>IFERROR(INDEX(【様式３】シフト表!$AK$7:$AK$106,MATCH($M131,【様式３】シフト表!$B$7:$B$106,0),1),0)</f>
        <v>0</v>
      </c>
      <c r="H131" s="161"/>
      <c r="I131" s="343"/>
      <c r="J131" s="783" t="str">
        <f t="shared" si="38"/>
        <v>-</v>
      </c>
      <c r="K131" s="321"/>
      <c r="L131" s="271" t="b">
        <f t="shared" si="32"/>
        <v>0</v>
      </c>
      <c r="M131" s="272">
        <f>IF($E131&lt;&gt;$M$37,0,COUNTIF($E$40:E131,$M$37))</f>
        <v>0</v>
      </c>
      <c r="N131" s="272" t="b">
        <f t="shared" si="33"/>
        <v>0</v>
      </c>
      <c r="O131" s="273" t="b">
        <f t="shared" si="34"/>
        <v>1</v>
      </c>
      <c r="P131" s="195"/>
      <c r="Q131" s="301">
        <f t="shared" si="35"/>
        <v>0</v>
      </c>
      <c r="R131" s="275">
        <f t="shared" si="36"/>
        <v>0</v>
      </c>
      <c r="S131" s="301">
        <f t="shared" si="40"/>
        <v>0</v>
      </c>
      <c r="T131" s="275">
        <f t="shared" si="40"/>
        <v>0</v>
      </c>
      <c r="U131" s="275">
        <f t="shared" si="40"/>
        <v>0</v>
      </c>
      <c r="V131" s="302">
        <f t="shared" si="40"/>
        <v>0</v>
      </c>
      <c r="W131" s="279">
        <f t="shared" si="37"/>
        <v>0</v>
      </c>
      <c r="X131" s="147"/>
      <c r="Y131" s="147"/>
      <c r="Z131" s="147"/>
    </row>
    <row r="132" spans="1:26" ht="15" customHeight="1">
      <c r="A132" s="705">
        <f t="shared" si="39"/>
        <v>93</v>
      </c>
      <c r="B132" s="360"/>
      <c r="C132" s="218"/>
      <c r="D132" s="244"/>
      <c r="E132" s="218"/>
      <c r="F132" s="219"/>
      <c r="G132" s="709">
        <f>IFERROR(INDEX(【様式３】シフト表!$AK$7:$AK$106,MATCH($M132,【様式３】シフト表!$B$7:$B$106,0),1),0)</f>
        <v>0</v>
      </c>
      <c r="H132" s="161"/>
      <c r="I132" s="343"/>
      <c r="J132" s="783" t="str">
        <f t="shared" si="38"/>
        <v>-</v>
      </c>
      <c r="K132" s="321"/>
      <c r="L132" s="271" t="b">
        <f t="shared" si="32"/>
        <v>0</v>
      </c>
      <c r="M132" s="272">
        <f>IF($E132&lt;&gt;$M$37,0,COUNTIF($E$40:E132,$M$37))</f>
        <v>0</v>
      </c>
      <c r="N132" s="272" t="b">
        <f t="shared" si="33"/>
        <v>0</v>
      </c>
      <c r="O132" s="273" t="b">
        <f t="shared" si="34"/>
        <v>1</v>
      </c>
      <c r="P132" s="195"/>
      <c r="Q132" s="301">
        <f t="shared" si="35"/>
        <v>0</v>
      </c>
      <c r="R132" s="275">
        <f t="shared" si="36"/>
        <v>0</v>
      </c>
      <c r="S132" s="301">
        <f t="shared" si="40"/>
        <v>0</v>
      </c>
      <c r="T132" s="275">
        <f t="shared" si="40"/>
        <v>0</v>
      </c>
      <c r="U132" s="275">
        <f t="shared" si="40"/>
        <v>0</v>
      </c>
      <c r="V132" s="302">
        <f t="shared" si="40"/>
        <v>0</v>
      </c>
      <c r="W132" s="279">
        <f t="shared" si="37"/>
        <v>0</v>
      </c>
      <c r="X132" s="147"/>
      <c r="Y132" s="147"/>
      <c r="Z132" s="147"/>
    </row>
    <row r="133" spans="1:26" ht="15" customHeight="1">
      <c r="A133" s="705">
        <f t="shared" si="39"/>
        <v>94</v>
      </c>
      <c r="B133" s="360"/>
      <c r="C133" s="218"/>
      <c r="D133" s="244"/>
      <c r="E133" s="218"/>
      <c r="F133" s="219"/>
      <c r="G133" s="709">
        <f>IFERROR(INDEX(【様式３】シフト表!$AK$7:$AK$106,MATCH($M133,【様式３】シフト表!$B$7:$B$106,0),1),0)</f>
        <v>0</v>
      </c>
      <c r="H133" s="161"/>
      <c r="I133" s="343"/>
      <c r="J133" s="783" t="str">
        <f t="shared" si="38"/>
        <v>-</v>
      </c>
      <c r="K133" s="321"/>
      <c r="L133" s="271" t="b">
        <f t="shared" si="32"/>
        <v>0</v>
      </c>
      <c r="M133" s="272">
        <f>IF($E133&lt;&gt;$M$37,0,COUNTIF($E$40:E133,$M$37))</f>
        <v>0</v>
      </c>
      <c r="N133" s="272" t="b">
        <f t="shared" si="33"/>
        <v>0</v>
      </c>
      <c r="O133" s="273" t="b">
        <f t="shared" si="34"/>
        <v>1</v>
      </c>
      <c r="P133" s="195"/>
      <c r="Q133" s="301">
        <f t="shared" si="35"/>
        <v>0</v>
      </c>
      <c r="R133" s="275">
        <f t="shared" si="36"/>
        <v>0</v>
      </c>
      <c r="S133" s="301">
        <f t="shared" si="40"/>
        <v>0</v>
      </c>
      <c r="T133" s="275">
        <f t="shared" si="40"/>
        <v>0</v>
      </c>
      <c r="U133" s="275">
        <f t="shared" si="40"/>
        <v>0</v>
      </c>
      <c r="V133" s="302">
        <f t="shared" si="40"/>
        <v>0</v>
      </c>
      <c r="W133" s="279">
        <f t="shared" si="37"/>
        <v>0</v>
      </c>
      <c r="X133" s="147"/>
      <c r="Y133" s="147"/>
      <c r="Z133" s="147"/>
    </row>
    <row r="134" spans="1:26" ht="15" customHeight="1">
      <c r="A134" s="705">
        <f t="shared" si="39"/>
        <v>95</v>
      </c>
      <c r="B134" s="360"/>
      <c r="C134" s="218"/>
      <c r="D134" s="244"/>
      <c r="E134" s="218"/>
      <c r="F134" s="219"/>
      <c r="G134" s="709">
        <f>IFERROR(INDEX(【様式３】シフト表!$AK$7:$AK$106,MATCH($M134,【様式３】シフト表!$B$7:$B$106,0),1),0)</f>
        <v>0</v>
      </c>
      <c r="H134" s="161"/>
      <c r="I134" s="343"/>
      <c r="J134" s="783" t="str">
        <f t="shared" si="38"/>
        <v>-</v>
      </c>
      <c r="K134" s="321"/>
      <c r="L134" s="271" t="b">
        <f t="shared" si="32"/>
        <v>0</v>
      </c>
      <c r="M134" s="272">
        <f>IF($E134&lt;&gt;$M$37,0,COUNTIF($E$40:E134,$M$37))</f>
        <v>0</v>
      </c>
      <c r="N134" s="272" t="b">
        <f t="shared" si="33"/>
        <v>0</v>
      </c>
      <c r="O134" s="273" t="b">
        <f t="shared" si="34"/>
        <v>1</v>
      </c>
      <c r="P134" s="195"/>
      <c r="Q134" s="301">
        <f t="shared" si="35"/>
        <v>0</v>
      </c>
      <c r="R134" s="275">
        <f t="shared" si="36"/>
        <v>0</v>
      </c>
      <c r="S134" s="301">
        <f t="shared" si="40"/>
        <v>0</v>
      </c>
      <c r="T134" s="275">
        <f t="shared" si="40"/>
        <v>0</v>
      </c>
      <c r="U134" s="275">
        <f t="shared" si="40"/>
        <v>0</v>
      </c>
      <c r="V134" s="302">
        <f t="shared" si="40"/>
        <v>0</v>
      </c>
      <c r="W134" s="279">
        <f t="shared" si="37"/>
        <v>0</v>
      </c>
      <c r="X134" s="147"/>
      <c r="Y134" s="147"/>
      <c r="Z134" s="147"/>
    </row>
    <row r="135" spans="1:26" ht="15" customHeight="1">
      <c r="A135" s="705">
        <f t="shared" si="39"/>
        <v>96</v>
      </c>
      <c r="B135" s="360"/>
      <c r="C135" s="218"/>
      <c r="D135" s="244"/>
      <c r="E135" s="218"/>
      <c r="F135" s="219"/>
      <c r="G135" s="709">
        <f>IFERROR(INDEX(【様式３】シフト表!$AK$7:$AK$106,MATCH($M135,【様式３】シフト表!$B$7:$B$106,0),1),0)</f>
        <v>0</v>
      </c>
      <c r="H135" s="161"/>
      <c r="I135" s="343"/>
      <c r="J135" s="783" t="str">
        <f t="shared" si="38"/>
        <v>-</v>
      </c>
      <c r="K135" s="321"/>
      <c r="L135" s="271" t="b">
        <f t="shared" si="32"/>
        <v>0</v>
      </c>
      <c r="M135" s="272">
        <f>IF($E135&lt;&gt;$M$37,0,COUNTIF($E$40:E135,$M$37))</f>
        <v>0</v>
      </c>
      <c r="N135" s="272" t="b">
        <f t="shared" si="33"/>
        <v>0</v>
      </c>
      <c r="O135" s="273" t="b">
        <f t="shared" si="34"/>
        <v>1</v>
      </c>
      <c r="P135" s="195"/>
      <c r="Q135" s="301">
        <f t="shared" si="35"/>
        <v>0</v>
      </c>
      <c r="R135" s="275">
        <f t="shared" si="36"/>
        <v>0</v>
      </c>
      <c r="S135" s="301">
        <f t="shared" si="40"/>
        <v>0</v>
      </c>
      <c r="T135" s="275">
        <f t="shared" si="40"/>
        <v>0</v>
      </c>
      <c r="U135" s="275">
        <f t="shared" si="40"/>
        <v>0</v>
      </c>
      <c r="V135" s="302">
        <f t="shared" si="40"/>
        <v>0</v>
      </c>
      <c r="W135" s="279">
        <f t="shared" si="37"/>
        <v>0</v>
      </c>
      <c r="X135" s="147"/>
      <c r="Y135" s="147"/>
      <c r="Z135" s="147"/>
    </row>
    <row r="136" spans="1:26" ht="15" customHeight="1">
      <c r="A136" s="705">
        <f t="shared" si="39"/>
        <v>97</v>
      </c>
      <c r="B136" s="360"/>
      <c r="C136" s="218"/>
      <c r="D136" s="244"/>
      <c r="E136" s="218"/>
      <c r="F136" s="219"/>
      <c r="G136" s="709">
        <f>IFERROR(INDEX(【様式３】シフト表!$AK$7:$AK$106,MATCH($M136,【様式３】シフト表!$B$7:$B$106,0),1),0)</f>
        <v>0</v>
      </c>
      <c r="H136" s="161"/>
      <c r="I136" s="343"/>
      <c r="J136" s="783" t="str">
        <f t="shared" si="38"/>
        <v>-</v>
      </c>
      <c r="K136" s="321"/>
      <c r="L136" s="271" t="b">
        <f t="shared" si="32"/>
        <v>0</v>
      </c>
      <c r="M136" s="272">
        <f>IF($E136&lt;&gt;$M$37,0,COUNTIF($E$40:E136,$M$37))</f>
        <v>0</v>
      </c>
      <c r="N136" s="272" t="b">
        <f t="shared" si="33"/>
        <v>0</v>
      </c>
      <c r="O136" s="273" t="b">
        <f t="shared" si="34"/>
        <v>1</v>
      </c>
      <c r="P136" s="195"/>
      <c r="Q136" s="301">
        <f t="shared" si="35"/>
        <v>0</v>
      </c>
      <c r="R136" s="275">
        <f t="shared" si="36"/>
        <v>0</v>
      </c>
      <c r="S136" s="301">
        <f t="shared" si="40"/>
        <v>0</v>
      </c>
      <c r="T136" s="275">
        <f t="shared" si="40"/>
        <v>0</v>
      </c>
      <c r="U136" s="275">
        <f t="shared" si="40"/>
        <v>0</v>
      </c>
      <c r="V136" s="302">
        <f t="shared" si="40"/>
        <v>0</v>
      </c>
      <c r="W136" s="279">
        <f t="shared" si="37"/>
        <v>0</v>
      </c>
      <c r="X136" s="147"/>
      <c r="Y136" s="147"/>
      <c r="Z136" s="147"/>
    </row>
    <row r="137" spans="1:26" ht="15" customHeight="1">
      <c r="A137" s="705">
        <f t="shared" si="39"/>
        <v>98</v>
      </c>
      <c r="B137" s="360"/>
      <c r="C137" s="218"/>
      <c r="D137" s="244"/>
      <c r="E137" s="218"/>
      <c r="F137" s="219"/>
      <c r="G137" s="709">
        <f>IFERROR(INDEX(【様式３】シフト表!$AK$7:$AK$106,MATCH($M137,【様式３】シフト表!$B$7:$B$106,0),1),0)</f>
        <v>0</v>
      </c>
      <c r="H137" s="161"/>
      <c r="I137" s="343"/>
      <c r="J137" s="783" t="str">
        <f t="shared" si="38"/>
        <v>-</v>
      </c>
      <c r="K137" s="321"/>
      <c r="L137" s="271" t="b">
        <f t="shared" si="32"/>
        <v>0</v>
      </c>
      <c r="M137" s="272">
        <f>IF($E137&lt;&gt;$M$37,0,COUNTIF($E$40:E137,$M$37))</f>
        <v>0</v>
      </c>
      <c r="N137" s="272" t="b">
        <f t="shared" si="33"/>
        <v>0</v>
      </c>
      <c r="O137" s="273" t="b">
        <f t="shared" si="34"/>
        <v>1</v>
      </c>
      <c r="P137" s="195"/>
      <c r="Q137" s="301">
        <f t="shared" si="35"/>
        <v>0</v>
      </c>
      <c r="R137" s="275">
        <f t="shared" si="36"/>
        <v>0</v>
      </c>
      <c r="S137" s="301">
        <f t="shared" si="40"/>
        <v>0</v>
      </c>
      <c r="T137" s="275">
        <f t="shared" si="40"/>
        <v>0</v>
      </c>
      <c r="U137" s="275">
        <f t="shared" si="40"/>
        <v>0</v>
      </c>
      <c r="V137" s="302">
        <f t="shared" si="40"/>
        <v>0</v>
      </c>
      <c r="W137" s="279">
        <f t="shared" si="37"/>
        <v>0</v>
      </c>
      <c r="X137" s="147"/>
      <c r="Y137" s="147"/>
    </row>
    <row r="138" spans="1:26" ht="15" customHeight="1">
      <c r="A138" s="705">
        <f t="shared" si="39"/>
        <v>99</v>
      </c>
      <c r="B138" s="360"/>
      <c r="C138" s="218"/>
      <c r="D138" s="244"/>
      <c r="E138" s="218"/>
      <c r="F138" s="219"/>
      <c r="G138" s="709">
        <f>IFERROR(INDEX(【様式３】シフト表!$AK$7:$AK$106,MATCH($M138,【様式３】シフト表!$B$7:$B$106,0),1),0)</f>
        <v>0</v>
      </c>
      <c r="H138" s="161"/>
      <c r="I138" s="343"/>
      <c r="J138" s="783" t="str">
        <f t="shared" si="38"/>
        <v>-</v>
      </c>
      <c r="K138" s="321"/>
      <c r="L138" s="271" t="b">
        <f t="shared" si="32"/>
        <v>0</v>
      </c>
      <c r="M138" s="272">
        <f>IF($E138&lt;&gt;$M$37,0,COUNTIF($E$40:E138,$M$37))</f>
        <v>0</v>
      </c>
      <c r="N138" s="272" t="b">
        <f t="shared" si="33"/>
        <v>0</v>
      </c>
      <c r="O138" s="273" t="b">
        <f t="shared" si="34"/>
        <v>1</v>
      </c>
      <c r="P138" s="195"/>
      <c r="Q138" s="301">
        <f t="shared" si="35"/>
        <v>0</v>
      </c>
      <c r="R138" s="275">
        <f t="shared" si="36"/>
        <v>0</v>
      </c>
      <c r="S138" s="301">
        <f t="shared" si="40"/>
        <v>0</v>
      </c>
      <c r="T138" s="275">
        <f t="shared" si="40"/>
        <v>0</v>
      </c>
      <c r="U138" s="275">
        <f t="shared" si="40"/>
        <v>0</v>
      </c>
      <c r="V138" s="302">
        <f t="shared" si="40"/>
        <v>0</v>
      </c>
      <c r="W138" s="279">
        <f t="shared" si="37"/>
        <v>0</v>
      </c>
      <c r="Y138" s="147"/>
    </row>
    <row r="139" spans="1:26" ht="15" customHeight="1" thickBot="1">
      <c r="A139" s="706">
        <f t="shared" si="39"/>
        <v>100</v>
      </c>
      <c r="B139" s="361"/>
      <c r="C139" s="340"/>
      <c r="D139" s="339"/>
      <c r="E139" s="340"/>
      <c r="F139" s="341"/>
      <c r="G139" s="710">
        <f>IFERROR(INDEX(【様式３】シフト表!$AK$7:$AK$106,MATCH($M139,【様式３】シフト表!$B$7:$B$106,0),1),0)</f>
        <v>0</v>
      </c>
      <c r="H139" s="342"/>
      <c r="I139" s="344"/>
      <c r="J139" s="784" t="str">
        <f t="shared" si="38"/>
        <v>-</v>
      </c>
      <c r="K139" s="321"/>
      <c r="L139" s="280" t="b">
        <f t="shared" si="32"/>
        <v>0</v>
      </c>
      <c r="M139" s="281">
        <f>IF($E139&lt;&gt;$M$37,0,COUNTIF($E$40:E139,$M$37))</f>
        <v>0</v>
      </c>
      <c r="N139" s="281" t="b">
        <f t="shared" si="33"/>
        <v>0</v>
      </c>
      <c r="O139" s="282" t="b">
        <f t="shared" si="34"/>
        <v>1</v>
      </c>
      <c r="P139" s="195"/>
      <c r="Q139" s="303">
        <f t="shared" si="35"/>
        <v>0</v>
      </c>
      <c r="R139" s="284">
        <f t="shared" si="36"/>
        <v>0</v>
      </c>
      <c r="S139" s="303">
        <f t="shared" si="40"/>
        <v>0</v>
      </c>
      <c r="T139" s="284">
        <f t="shared" si="40"/>
        <v>0</v>
      </c>
      <c r="U139" s="284">
        <f t="shared" si="40"/>
        <v>0</v>
      </c>
      <c r="V139" s="304">
        <f t="shared" si="40"/>
        <v>0</v>
      </c>
      <c r="W139" s="285">
        <f t="shared" si="37"/>
        <v>0</v>
      </c>
    </row>
    <row r="140" spans="1:26" ht="20.100000000000001" customHeight="1" thickBot="1">
      <c r="O140" s="146"/>
      <c r="P140" s="305" t="str">
        <f t="shared" ref="P140" si="41">Y28</f>
        <v>施設長</v>
      </c>
      <c r="Q140" s="306">
        <f>SUMIFS(Q$40:Q$139,$J$40:$J$139,$P140)</f>
        <v>0</v>
      </c>
      <c r="R140" s="307">
        <f>SUMIFS(R$40:R$139,$J$40:$J$139,$P140)</f>
        <v>0</v>
      </c>
      <c r="S140" s="298">
        <f t="shared" ref="S140:W147" si="42">COUNTIF(S$40:S$139,$P140)</f>
        <v>0</v>
      </c>
      <c r="T140" s="299">
        <f t="shared" si="42"/>
        <v>0</v>
      </c>
      <c r="U140" s="299">
        <f t="shared" si="42"/>
        <v>0</v>
      </c>
      <c r="V140" s="299">
        <f t="shared" si="42"/>
        <v>0</v>
      </c>
      <c r="W140" s="269">
        <f t="shared" si="42"/>
        <v>0</v>
      </c>
    </row>
    <row r="141" spans="1:26" ht="20.100000000000001" customHeight="1" thickBot="1">
      <c r="K141" s="308"/>
      <c r="L141" s="308"/>
      <c r="M141" s="150"/>
      <c r="N141" s="150"/>
      <c r="O141" s="150"/>
      <c r="P141" s="309" t="str">
        <f t="shared" ref="P141:P147" si="43">Y30</f>
        <v>教諭（発令有）</v>
      </c>
      <c r="Q141" s="310">
        <f t="shared" ref="Q141:Q147" si="44">SUMIFS(Q$40:Q$139,$J$40:$J$139,$P141)</f>
        <v>0</v>
      </c>
      <c r="R141" s="790">
        <f>SUM(SUMIFS(R$40:R$139,$J$40:$J$139,$P141),SUMIFS(R$30:R$34,$J$30:$J$34,$P141))</f>
        <v>0</v>
      </c>
      <c r="S141" s="301">
        <f t="shared" si="42"/>
        <v>0</v>
      </c>
      <c r="T141" s="275">
        <f t="shared" si="42"/>
        <v>0</v>
      </c>
      <c r="U141" s="275">
        <f t="shared" si="42"/>
        <v>0</v>
      </c>
      <c r="V141" s="275">
        <f t="shared" si="42"/>
        <v>0</v>
      </c>
      <c r="W141" s="276">
        <f t="shared" si="42"/>
        <v>0</v>
      </c>
    </row>
    <row r="142" spans="1:26" ht="20.100000000000001" customHeight="1">
      <c r="K142" s="308"/>
      <c r="L142" s="308"/>
      <c r="M142" s="150"/>
      <c r="N142" s="150"/>
      <c r="O142" s="150"/>
      <c r="P142" s="309" t="str">
        <f t="shared" si="43"/>
        <v>教諭（発令無）</v>
      </c>
      <c r="Q142" s="310">
        <f t="shared" si="44"/>
        <v>0</v>
      </c>
      <c r="R142" s="791">
        <f t="shared" ref="R142:R147" si="45">SUMIFS(R$40:R$139,$J$40:$J$139,$P142)</f>
        <v>0</v>
      </c>
      <c r="S142" s="311">
        <f t="shared" si="42"/>
        <v>0</v>
      </c>
      <c r="T142" s="275">
        <f t="shared" si="42"/>
        <v>0</v>
      </c>
      <c r="U142" s="275">
        <f t="shared" si="42"/>
        <v>0</v>
      </c>
      <c r="V142" s="275">
        <f t="shared" si="42"/>
        <v>0</v>
      </c>
      <c r="W142" s="276">
        <f t="shared" si="42"/>
        <v>0</v>
      </c>
    </row>
    <row r="143" spans="1:26" ht="20.100000000000001" customHeight="1">
      <c r="K143" s="308"/>
      <c r="L143" s="308"/>
      <c r="M143" s="103"/>
      <c r="N143" s="103"/>
      <c r="P143" s="309" t="str">
        <f t="shared" si="43"/>
        <v>栄養士等</v>
      </c>
      <c r="Q143" s="311">
        <f t="shared" si="44"/>
        <v>0</v>
      </c>
      <c r="R143" s="279">
        <f t="shared" si="45"/>
        <v>0</v>
      </c>
      <c r="S143" s="301">
        <f t="shared" si="42"/>
        <v>0</v>
      </c>
      <c r="T143" s="275">
        <f t="shared" si="42"/>
        <v>0</v>
      </c>
      <c r="U143" s="275">
        <f t="shared" si="42"/>
        <v>0</v>
      </c>
      <c r="V143" s="275">
        <f t="shared" si="42"/>
        <v>0</v>
      </c>
      <c r="W143" s="276">
        <f t="shared" si="42"/>
        <v>0</v>
      </c>
    </row>
    <row r="144" spans="1:26" ht="20.100000000000001" customHeight="1">
      <c r="K144" s="308"/>
      <c r="L144" s="308"/>
      <c r="M144" s="103"/>
      <c r="N144" s="103"/>
      <c r="P144" s="309" t="str">
        <f t="shared" si="43"/>
        <v>調理員</v>
      </c>
      <c r="Q144" s="311">
        <f t="shared" si="44"/>
        <v>0</v>
      </c>
      <c r="R144" s="276">
        <f t="shared" si="45"/>
        <v>0</v>
      </c>
      <c r="S144" s="301">
        <f t="shared" si="42"/>
        <v>0</v>
      </c>
      <c r="T144" s="275">
        <f t="shared" si="42"/>
        <v>0</v>
      </c>
      <c r="U144" s="275">
        <f t="shared" si="42"/>
        <v>0</v>
      </c>
      <c r="V144" s="275">
        <f t="shared" si="42"/>
        <v>0</v>
      </c>
      <c r="W144" s="276">
        <f t="shared" si="42"/>
        <v>0</v>
      </c>
    </row>
    <row r="145" spans="11:23" ht="20.100000000000001" customHeight="1">
      <c r="K145" s="308"/>
      <c r="L145" s="308"/>
      <c r="M145" s="103"/>
      <c r="N145" s="103"/>
      <c r="P145" s="309" t="str">
        <f t="shared" si="43"/>
        <v>事務員</v>
      </c>
      <c r="Q145" s="311">
        <f t="shared" si="44"/>
        <v>0</v>
      </c>
      <c r="R145" s="276">
        <f t="shared" si="45"/>
        <v>0</v>
      </c>
      <c r="S145" s="301">
        <f t="shared" si="42"/>
        <v>0</v>
      </c>
      <c r="T145" s="275">
        <f t="shared" si="42"/>
        <v>0</v>
      </c>
      <c r="U145" s="275">
        <f t="shared" si="42"/>
        <v>0</v>
      </c>
      <c r="V145" s="275">
        <f t="shared" si="42"/>
        <v>0</v>
      </c>
      <c r="W145" s="276">
        <f t="shared" si="42"/>
        <v>0</v>
      </c>
    </row>
    <row r="146" spans="11:23" ht="20.100000000000001" customHeight="1">
      <c r="K146" s="148"/>
      <c r="L146" s="148"/>
      <c r="M146" s="103"/>
      <c r="N146" s="103"/>
      <c r="P146" s="309" t="str">
        <f t="shared" si="43"/>
        <v>学校医</v>
      </c>
      <c r="Q146" s="311">
        <f t="shared" si="44"/>
        <v>0</v>
      </c>
      <c r="R146" s="276">
        <f t="shared" si="45"/>
        <v>0</v>
      </c>
      <c r="S146" s="301">
        <f t="shared" si="42"/>
        <v>0</v>
      </c>
      <c r="T146" s="275">
        <f t="shared" si="42"/>
        <v>0</v>
      </c>
      <c r="U146" s="275">
        <f t="shared" si="42"/>
        <v>0</v>
      </c>
      <c r="V146" s="275">
        <f t="shared" si="42"/>
        <v>0</v>
      </c>
      <c r="W146" s="276">
        <f t="shared" si="42"/>
        <v>0</v>
      </c>
    </row>
    <row r="147" spans="11:23" ht="20.100000000000001" customHeight="1" thickBot="1">
      <c r="K147" s="148"/>
      <c r="L147" s="148"/>
      <c r="M147" s="103"/>
      <c r="N147" s="103"/>
      <c r="P147" s="337" t="str">
        <f t="shared" si="43"/>
        <v>その他</v>
      </c>
      <c r="Q147" s="338">
        <f t="shared" si="44"/>
        <v>0</v>
      </c>
      <c r="R147" s="285">
        <f t="shared" si="45"/>
        <v>0</v>
      </c>
      <c r="S147" s="303">
        <f t="shared" si="42"/>
        <v>0</v>
      </c>
      <c r="T147" s="284">
        <f t="shared" si="42"/>
        <v>0</v>
      </c>
      <c r="U147" s="284">
        <f t="shared" si="42"/>
        <v>0</v>
      </c>
      <c r="V147" s="284">
        <f t="shared" si="42"/>
        <v>0</v>
      </c>
      <c r="W147" s="285">
        <f t="shared" si="42"/>
        <v>0</v>
      </c>
    </row>
    <row r="148" spans="11:23" ht="20.100000000000001" customHeight="1">
      <c r="K148" s="148"/>
      <c r="L148" s="148"/>
      <c r="M148" s="103"/>
      <c r="N148" s="103"/>
      <c r="P148" s="195"/>
      <c r="R148" s="103"/>
      <c r="S148" s="147"/>
      <c r="T148" s="147"/>
    </row>
    <row r="149" spans="11:23" ht="20.100000000000001" customHeight="1">
      <c r="O149" s="146"/>
      <c r="P149" s="195"/>
      <c r="R149" s="103"/>
      <c r="S149" s="147"/>
      <c r="T149" s="147"/>
    </row>
    <row r="150" spans="11:23">
      <c r="O150" s="146"/>
      <c r="P150" s="195"/>
      <c r="Q150" s="146"/>
      <c r="R150" s="146"/>
      <c r="S150" s="147"/>
    </row>
    <row r="151" spans="11:23">
      <c r="O151" s="146"/>
      <c r="P151" s="195"/>
      <c r="Q151" s="146"/>
      <c r="R151" s="146"/>
      <c r="S151" s="147"/>
    </row>
    <row r="152" spans="11:23">
      <c r="O152" s="146"/>
      <c r="P152" s="195"/>
      <c r="Q152" s="146"/>
      <c r="R152" s="146"/>
      <c r="S152" s="147"/>
    </row>
    <row r="153" spans="11:23">
      <c r="O153" s="146"/>
      <c r="P153" s="195"/>
      <c r="Q153" s="146"/>
      <c r="R153" s="146"/>
      <c r="S153" s="147"/>
      <c r="T153" s="150"/>
    </row>
    <row r="154" spans="11:23">
      <c r="O154" s="146"/>
      <c r="P154" s="195"/>
      <c r="Q154" s="146"/>
      <c r="R154" s="146"/>
      <c r="S154" s="147"/>
      <c r="T154" s="150"/>
    </row>
    <row r="155" spans="11:23">
      <c r="K155" s="247"/>
      <c r="L155" s="247"/>
      <c r="O155" s="146"/>
      <c r="P155" s="195"/>
      <c r="Q155" s="146"/>
      <c r="R155" s="146"/>
      <c r="S155" s="147"/>
      <c r="T155" s="150"/>
    </row>
    <row r="156" spans="11:23">
      <c r="O156" s="146"/>
      <c r="P156" s="195"/>
      <c r="Q156" s="146"/>
      <c r="R156" s="146"/>
      <c r="S156" s="147"/>
      <c r="T156" s="187"/>
    </row>
    <row r="157" spans="11:23">
      <c r="K157" s="146"/>
      <c r="L157" s="146"/>
      <c r="M157" s="103"/>
      <c r="N157" s="103"/>
      <c r="P157" s="195"/>
      <c r="Q157" s="146"/>
      <c r="R157" s="146"/>
    </row>
    <row r="158" spans="11:23">
      <c r="K158" s="146"/>
      <c r="L158" s="146"/>
      <c r="M158" s="103"/>
      <c r="N158" s="103"/>
      <c r="P158" s="195"/>
      <c r="R158" s="103"/>
    </row>
    <row r="159" spans="11:23">
      <c r="K159" s="146"/>
      <c r="L159" s="146"/>
      <c r="M159" s="103"/>
      <c r="N159" s="103"/>
      <c r="P159" s="195"/>
      <c r="R159" s="103"/>
    </row>
  </sheetData>
  <sheetProtection algorithmName="SHA-512" hashValue="AecMe0sTrrUJOtofK9C99loFC8TeIezBpxpupmD3RVaxJZm8cPg6xa0Lfj+SlEGtSfAxxa6zJdAeK//faavcHw==" saltValue="cJxBmIO2/IIZq+GdZuxcPA==" spinCount="100000" sheet="1" objects="1" scenarios="1"/>
  <mergeCells count="52">
    <mergeCell ref="A22:J22"/>
    <mergeCell ref="J9:J10"/>
    <mergeCell ref="E6:E7"/>
    <mergeCell ref="B5:D7"/>
    <mergeCell ref="B8:B10"/>
    <mergeCell ref="C9:E9"/>
    <mergeCell ref="C8:F8"/>
    <mergeCell ref="G8:J8"/>
    <mergeCell ref="H9:I9"/>
    <mergeCell ref="F9:F10"/>
    <mergeCell ref="E2:F2"/>
    <mergeCell ref="A37:B37"/>
    <mergeCell ref="B4:J4"/>
    <mergeCell ref="F5:I5"/>
    <mergeCell ref="F6:J7"/>
    <mergeCell ref="J27:J29"/>
    <mergeCell ref="A28:A29"/>
    <mergeCell ref="B28:B29"/>
    <mergeCell ref="C28:C29"/>
    <mergeCell ref="D28:D29"/>
    <mergeCell ref="E28:E29"/>
    <mergeCell ref="F28:F29"/>
    <mergeCell ref="G28:G29"/>
    <mergeCell ref="H28:H29"/>
    <mergeCell ref="A27:B27"/>
    <mergeCell ref="A21:J21"/>
    <mergeCell ref="H1:J1"/>
    <mergeCell ref="J37:J39"/>
    <mergeCell ref="I37:I39"/>
    <mergeCell ref="F38:F39"/>
    <mergeCell ref="S25:W25"/>
    <mergeCell ref="Q25:R25"/>
    <mergeCell ref="N25:O25"/>
    <mergeCell ref="L25:M25"/>
    <mergeCell ref="E37:G37"/>
    <mergeCell ref="G38:G39"/>
    <mergeCell ref="H38:H39"/>
    <mergeCell ref="B19:J19"/>
    <mergeCell ref="A23:J23"/>
    <mergeCell ref="A24:J24"/>
    <mergeCell ref="C37:D37"/>
    <mergeCell ref="A2:D2"/>
    <mergeCell ref="Y25:AD25"/>
    <mergeCell ref="A38:A39"/>
    <mergeCell ref="B38:B39"/>
    <mergeCell ref="E38:E39"/>
    <mergeCell ref="C38:C39"/>
    <mergeCell ref="D38:D39"/>
    <mergeCell ref="C27:D27"/>
    <mergeCell ref="E27:G27"/>
    <mergeCell ref="I27:I29"/>
    <mergeCell ref="AB32:AC36"/>
  </mergeCells>
  <phoneticPr fontId="1"/>
  <conditionalFormatting sqref="B40:B139">
    <cfRule type="duplicateValues" dxfId="35" priority="3"/>
  </conditionalFormatting>
  <conditionalFormatting sqref="C40:C139">
    <cfRule type="expression" dxfId="34" priority="2">
      <formula>C40="栄養士"</formula>
    </cfRule>
  </conditionalFormatting>
  <conditionalFormatting sqref="F5">
    <cfRule type="expression" dxfId="33" priority="482">
      <formula>OR($F$5=0,ISTEXT($F$5))</formula>
    </cfRule>
  </conditionalFormatting>
  <conditionalFormatting sqref="F6">
    <cfRule type="expression" dxfId="32" priority="480">
      <formula>AND($F$5&gt;=150,NOT(ISTEXT($F$5)))</formula>
    </cfRule>
    <cfRule type="expression" dxfId="31" priority="481">
      <formula>AND($F$5&lt;150,NOT(ISTEXT($F$6)))</formula>
    </cfRule>
  </conditionalFormatting>
  <conditionalFormatting sqref="F40:F139">
    <cfRule type="expression" dxfId="30" priority="27">
      <formula>OR($E40="常勤",$E40="非常勤")</formula>
    </cfRule>
  </conditionalFormatting>
  <conditionalFormatting sqref="G28:G29">
    <cfRule type="containsText" dxfId="29" priority="25" operator="containsText" text="エラー">
      <formula>NOT(ISERROR(SEARCH("エラー",G28)))</formula>
    </cfRule>
  </conditionalFormatting>
  <conditionalFormatting sqref="G30:G34">
    <cfRule type="expression" dxfId="28" priority="12">
      <formula>ISTEXT($G30)</formula>
    </cfRule>
    <cfRule type="expression" dxfId="27" priority="17">
      <formula>$E30="委託"</formula>
    </cfRule>
  </conditionalFormatting>
  <conditionalFormatting sqref="G38:G39">
    <cfRule type="containsText" dxfId="26" priority="36" operator="containsText" text="エラー">
      <formula>NOT(ISERROR(SEARCH("エラー",G38)))</formula>
    </cfRule>
  </conditionalFormatting>
  <conditionalFormatting sqref="G40:G139">
    <cfRule type="expression" dxfId="25" priority="28">
      <formula>$E40="非常勤"</formula>
    </cfRule>
  </conditionalFormatting>
  <conditionalFormatting sqref="H30:H34 H40:H139">
    <cfRule type="expression" dxfId="24" priority="592">
      <formula>$H30&gt;$AD$28</formula>
    </cfRule>
  </conditionalFormatting>
  <conditionalFormatting sqref="J30:J34">
    <cfRule type="containsText" dxfId="23" priority="5" operator="containsText" text="エラー">
      <formula>NOT(ISERROR(SEARCH("エラー",J30)))</formula>
    </cfRule>
  </conditionalFormatting>
  <conditionalFormatting sqref="J40:J139">
    <cfRule type="containsText" dxfId="22" priority="151" operator="containsText" text="エラー">
      <formula>NOT(ISERROR(SEARCH("エラー",J40)))</formula>
    </cfRule>
  </conditionalFormatting>
  <conditionalFormatting sqref="J90:K108">
    <cfRule type="containsText" dxfId="21" priority="31" operator="containsText" text="エラー">
      <formula>NOT(ISERROR(SEARCH("エラー",J90)))</formula>
    </cfRule>
  </conditionalFormatting>
  <conditionalFormatting sqref="J127:K127">
    <cfRule type="containsText" dxfId="20" priority="26" operator="containsText" text="エラー">
      <formula>NOT(ISERROR(SEARCH("エラー",J127)))</formula>
    </cfRule>
  </conditionalFormatting>
  <dataValidations count="8">
    <dataValidation type="decimal" allowBlank="1" showInputMessage="1" showErrorMessage="1" sqref="G40:G139" xr:uid="{00000000-0002-0000-0A00-000000000000}">
      <formula1>0</formula1>
      <formula2>200</formula2>
    </dataValidation>
    <dataValidation type="decimal" errorStyle="warning" operator="greaterThanOrEqual" allowBlank="1" showInputMessage="1" showErrorMessage="1" errorTitle="150時間未満の場合" error="以下の理由欄に記載してください。" sqref="F5" xr:uid="{00000000-0002-0000-0A00-000001000000}">
      <formula1>150</formula1>
    </dataValidation>
    <dataValidation type="list" showInputMessage="1" showErrorMessage="1" sqref="F40:F139" xr:uid="{00000000-0002-0000-0A00-000002000000}">
      <formula1>INDIRECT($E40)</formula1>
    </dataValidation>
    <dataValidation type="date" operator="lessThanOrEqual" allowBlank="1" showInputMessage="1" showErrorMessage="1" errorTitle="雇用開始月日が不正です。" sqref="H40:H139 H30:H34" xr:uid="{00000000-0002-0000-0A00-000003000000}">
      <formula1>$AD$28</formula1>
    </dataValidation>
    <dataValidation type="list" showInputMessage="1" showErrorMessage="1" sqref="E40:E139" xr:uid="{00000000-0002-0000-0A00-000004000000}">
      <formula1>$AA$27:$AA$30</formula1>
    </dataValidation>
    <dataValidation type="list" showInputMessage="1" showErrorMessage="1" sqref="D40:D139 D30:D34" xr:uid="{00000000-0002-0000-0A00-000005000000}">
      <formula1>$Z$27:$Z$30</formula1>
    </dataValidation>
    <dataValidation type="decimal" operator="greaterThan" allowBlank="1" showInputMessage="1" showErrorMessage="1" sqref="G30:G34" xr:uid="{00000000-0002-0000-0A00-000006000000}">
      <formula1>0</formula1>
    </dataValidation>
    <dataValidation type="list" showInputMessage="1" showErrorMessage="1" sqref="C40:C139" xr:uid="{00000000-0002-0000-0A00-000007000000}">
      <formula1>$Y$27:$Y$36</formula1>
    </dataValidation>
  </dataValidations>
  <pageMargins left="0.59055118110236227" right="0.59055118110236227" top="0.55118110236220474" bottom="0.15748031496062992" header="0.31496062992125984" footer="0.31496062992125984"/>
  <pageSetup paperSize="9" scale="63" fitToHeight="2" orientation="portrait" r:id="rId1"/>
  <rowBreaks count="1" manualBreakCount="1">
    <brk id="92" max="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0000"/>
    <pageSetUpPr fitToPage="1"/>
  </sheetPr>
  <dimension ref="A1:AX107"/>
  <sheetViews>
    <sheetView view="pageBreakPreview" topLeftCell="B1" zoomScale="90" zoomScaleNormal="70" zoomScaleSheetLayoutView="90" workbookViewId="0">
      <pane xSplit="4" ySplit="6" topLeftCell="F7" activePane="bottomRight" state="frozen"/>
      <selection activeCell="A40" sqref="A40:J40"/>
      <selection pane="topRight" activeCell="A40" sqref="A40:J40"/>
      <selection pane="bottomLeft" activeCell="A40" sqref="A40:J40"/>
      <selection pane="bottomRight" activeCell="F6" sqref="F6"/>
    </sheetView>
  </sheetViews>
  <sheetFormatPr defaultColWidth="9" defaultRowHeight="12" outlineLevelCol="1"/>
  <cols>
    <col min="1" max="1" width="4" style="60" hidden="1" customWidth="1"/>
    <col min="2" max="2" width="2.625" style="60" customWidth="1"/>
    <col min="3" max="3" width="20.125" style="60" customWidth="1"/>
    <col min="4" max="5" width="3.125" style="60" customWidth="1"/>
    <col min="6" max="36" width="5.625" style="60" customWidth="1"/>
    <col min="37" max="37" width="13.625" style="60" customWidth="1"/>
    <col min="38" max="38" width="50.625" style="60" customWidth="1"/>
    <col min="39" max="39" width="9" style="126" hidden="1" customWidth="1" outlineLevel="1"/>
    <col min="40" max="40" width="9" style="122" hidden="1" customWidth="1" outlineLevel="1"/>
    <col min="41" max="49" width="9" style="60" hidden="1" customWidth="1" outlineLevel="1"/>
    <col min="50" max="50" width="9" style="60" customWidth="1" collapsed="1"/>
    <col min="51" max="16384" width="9" style="60"/>
  </cols>
  <sheetData>
    <row r="1" spans="1:49" s="116" customFormat="1" ht="15" customHeight="1" thickBot="1">
      <c r="A1" s="110"/>
      <c r="B1" s="2067" t="s">
        <v>407</v>
      </c>
      <c r="C1" s="2067"/>
      <c r="D1" s="2067"/>
      <c r="E1" s="2067"/>
      <c r="F1" s="111"/>
      <c r="G1" s="2062">
        <f>AO1</f>
        <v>2025</v>
      </c>
      <c r="H1" s="2062"/>
      <c r="I1" s="127" t="s">
        <v>359</v>
      </c>
      <c r="J1" s="128">
        <f>AO2</f>
        <v>4</v>
      </c>
      <c r="K1" s="127" t="s">
        <v>360</v>
      </c>
      <c r="L1" s="2063" t="s">
        <v>361</v>
      </c>
      <c r="M1" s="2063"/>
      <c r="N1" s="2063"/>
      <c r="O1" s="2063"/>
      <c r="P1" s="2063"/>
      <c r="Q1" s="2063"/>
      <c r="R1" s="2063"/>
      <c r="S1" s="2063"/>
      <c r="T1" s="2063"/>
      <c r="U1" s="112"/>
      <c r="V1" s="112"/>
      <c r="W1" s="112"/>
      <c r="X1" s="112"/>
      <c r="Y1" s="112"/>
      <c r="Z1" s="112"/>
      <c r="AA1" s="112"/>
      <c r="AB1" s="112"/>
      <c r="AC1" s="2044" t="str">
        <f>AM2&amp;"様式3"&amp;AM3</f>
        <v>加-25_4月申-様式3-幼_Ver.4.00</v>
      </c>
      <c r="AD1" s="2044"/>
      <c r="AE1" s="2044"/>
      <c r="AF1" s="2044"/>
      <c r="AG1" s="2044"/>
      <c r="AH1" s="2044"/>
      <c r="AI1" s="2044"/>
      <c r="AJ1" s="2044"/>
      <c r="AK1" s="112"/>
      <c r="AL1" s="112"/>
      <c r="AM1" s="221" t="s">
        <v>942</v>
      </c>
      <c r="AN1" s="113" t="s">
        <v>359</v>
      </c>
      <c r="AO1" s="114">
        <f>【様式１】総括表・個票!D10</f>
        <v>2025</v>
      </c>
      <c r="AP1" s="140" t="s">
        <v>362</v>
      </c>
      <c r="AQ1" s="115">
        <v>1</v>
      </c>
      <c r="AR1" s="115">
        <v>2</v>
      </c>
      <c r="AS1" s="115">
        <v>3</v>
      </c>
      <c r="AT1" s="115">
        <v>4</v>
      </c>
      <c r="AU1" s="115">
        <v>5</v>
      </c>
      <c r="AV1" s="115">
        <v>6</v>
      </c>
      <c r="AW1" s="115">
        <v>7</v>
      </c>
    </row>
    <row r="2" spans="1:49" ht="15" customHeight="1" thickBot="1">
      <c r="A2" s="117"/>
      <c r="B2" s="118" t="s">
        <v>363</v>
      </c>
      <c r="C2" s="2045" t="s">
        <v>364</v>
      </c>
      <c r="D2" s="2045"/>
      <c r="E2" s="2046"/>
      <c r="F2" s="2047"/>
      <c r="G2" s="2048"/>
      <c r="H2" s="2048"/>
      <c r="I2" s="2048"/>
      <c r="J2" s="2049"/>
      <c r="K2" s="2068" t="s">
        <v>542</v>
      </c>
      <c r="L2" s="2069"/>
      <c r="M2" s="2069"/>
      <c r="N2" s="2069"/>
      <c r="O2" s="2069"/>
      <c r="P2" s="2069"/>
      <c r="Q2" s="2069"/>
      <c r="R2" s="2069"/>
      <c r="S2" s="2069"/>
      <c r="T2" s="2069"/>
      <c r="U2" s="2069"/>
      <c r="V2" s="2069"/>
      <c r="W2" s="2069"/>
      <c r="X2" s="2069"/>
      <c r="Y2" s="2069"/>
      <c r="Z2" s="2069"/>
      <c r="AA2" s="2052" t="s">
        <v>957</v>
      </c>
      <c r="AB2" s="2072"/>
      <c r="AC2" s="2050"/>
      <c r="AD2" s="2051"/>
      <c r="AE2" s="58" t="s">
        <v>365</v>
      </c>
      <c r="AF2" s="2052" t="s">
        <v>366</v>
      </c>
      <c r="AG2" s="2052"/>
      <c r="AH2" s="2054">
        <f>SUM(AC2,ROUND(AC3/60,2))</f>
        <v>0</v>
      </c>
      <c r="AI2" s="2055"/>
      <c r="AJ2" s="2058" t="s">
        <v>367</v>
      </c>
      <c r="AK2" s="119"/>
      <c r="AL2" s="119"/>
      <c r="AM2" s="221" t="str">
        <f>【様式１】総括表・個票!$AJ$2</f>
        <v>加-25_4月申-</v>
      </c>
      <c r="AN2" s="114" t="s">
        <v>368</v>
      </c>
      <c r="AO2" s="114">
        <f>【様式１】総括表・個票!I10</f>
        <v>4</v>
      </c>
      <c r="AP2" s="140" t="s">
        <v>369</v>
      </c>
      <c r="AQ2" s="141" t="s">
        <v>370</v>
      </c>
      <c r="AR2" s="142" t="s">
        <v>371</v>
      </c>
      <c r="AS2" s="142" t="s">
        <v>372</v>
      </c>
      <c r="AT2" s="142" t="s">
        <v>373</v>
      </c>
      <c r="AU2" s="142" t="s">
        <v>374</v>
      </c>
      <c r="AV2" s="142" t="s">
        <v>375</v>
      </c>
      <c r="AW2" s="143" t="s">
        <v>376</v>
      </c>
    </row>
    <row r="3" spans="1:49" ht="15" customHeight="1" thickBot="1">
      <c r="A3" s="120"/>
      <c r="B3" s="118" t="s">
        <v>377</v>
      </c>
      <c r="C3" s="2045" t="s">
        <v>3</v>
      </c>
      <c r="D3" s="2045"/>
      <c r="E3" s="2046"/>
      <c r="F3" s="2064">
        <f>【様式１】総括表・個票!D12</f>
        <v>0</v>
      </c>
      <c r="G3" s="2065"/>
      <c r="H3" s="2065"/>
      <c r="I3" s="2065"/>
      <c r="J3" s="2066"/>
      <c r="K3" s="2070" t="s">
        <v>378</v>
      </c>
      <c r="L3" s="2071"/>
      <c r="M3" s="2071"/>
      <c r="N3" s="2071"/>
      <c r="O3" s="2071"/>
      <c r="P3" s="2071"/>
      <c r="Q3" s="2071"/>
      <c r="R3" s="2071"/>
      <c r="S3" s="2071"/>
      <c r="T3" s="2071"/>
      <c r="U3" s="2071"/>
      <c r="V3" s="2071"/>
      <c r="W3" s="2071"/>
      <c r="X3" s="2071"/>
      <c r="Y3" s="2071"/>
      <c r="Z3" s="2071"/>
      <c r="AA3" s="2053"/>
      <c r="AB3" s="2057"/>
      <c r="AC3" s="2060"/>
      <c r="AD3" s="2061"/>
      <c r="AE3" s="59" t="s">
        <v>379</v>
      </c>
      <c r="AF3" s="2053"/>
      <c r="AG3" s="2053"/>
      <c r="AH3" s="2056"/>
      <c r="AI3" s="2057"/>
      <c r="AJ3" s="2059"/>
      <c r="AK3" s="320" t="s">
        <v>752</v>
      </c>
      <c r="AL3" s="121"/>
      <c r="AM3" s="221" t="str">
        <f>【様式１】総括表・個票!$AJ$3</f>
        <v>-幼_Ver.4.00</v>
      </c>
      <c r="AO3" s="123"/>
      <c r="AP3" s="144"/>
      <c r="AQ3" s="124"/>
    </row>
    <row r="4" spans="1:49" ht="15" customHeight="1">
      <c r="A4" s="120"/>
      <c r="B4" s="2083" t="s">
        <v>380</v>
      </c>
      <c r="C4" s="2085" t="s">
        <v>381</v>
      </c>
      <c r="D4" s="2081" t="s">
        <v>382</v>
      </c>
      <c r="E4" s="2082"/>
      <c r="F4" s="684">
        <v>1</v>
      </c>
      <c r="G4" s="684">
        <v>2</v>
      </c>
      <c r="H4" s="684">
        <v>3</v>
      </c>
      <c r="I4" s="684">
        <v>4</v>
      </c>
      <c r="J4" s="684">
        <v>5</v>
      </c>
      <c r="K4" s="684">
        <v>6</v>
      </c>
      <c r="L4" s="684">
        <v>7</v>
      </c>
      <c r="M4" s="684">
        <v>8</v>
      </c>
      <c r="N4" s="684">
        <v>9</v>
      </c>
      <c r="O4" s="684">
        <v>10</v>
      </c>
      <c r="P4" s="684">
        <v>11</v>
      </c>
      <c r="Q4" s="684">
        <v>12</v>
      </c>
      <c r="R4" s="684">
        <v>13</v>
      </c>
      <c r="S4" s="684">
        <v>14</v>
      </c>
      <c r="T4" s="684">
        <v>15</v>
      </c>
      <c r="U4" s="684">
        <v>16</v>
      </c>
      <c r="V4" s="684">
        <v>17</v>
      </c>
      <c r="W4" s="684">
        <v>18</v>
      </c>
      <c r="X4" s="684">
        <v>19</v>
      </c>
      <c r="Y4" s="684">
        <v>20</v>
      </c>
      <c r="Z4" s="684">
        <v>21</v>
      </c>
      <c r="AA4" s="684">
        <v>22</v>
      </c>
      <c r="AB4" s="684">
        <v>23</v>
      </c>
      <c r="AC4" s="684">
        <v>24</v>
      </c>
      <c r="AD4" s="684">
        <v>25</v>
      </c>
      <c r="AE4" s="684">
        <v>26</v>
      </c>
      <c r="AF4" s="684">
        <v>27</v>
      </c>
      <c r="AG4" s="684">
        <v>28</v>
      </c>
      <c r="AH4" s="684">
        <f>IF(AG4="","",IF(MONTH(DATE($AO$1,$AO$2,AG4+1))=$AO$2,AG4+1,""))</f>
        <v>29</v>
      </c>
      <c r="AI4" s="684">
        <f>IF(AH4="","",IF(MONTH(DATE($AO$1,$AO$2,AH4+1))=$AO$2,AH4+1,""))</f>
        <v>30</v>
      </c>
      <c r="AJ4" s="684" t="str">
        <f>IF(AI4="","",IF(MONTH(DATE($AO$1,$AO$2,AI4+1))=$AO$2,AI4+1,""))</f>
        <v/>
      </c>
      <c r="AK4" s="2073" t="s">
        <v>19</v>
      </c>
      <c r="AL4" s="125"/>
      <c r="AM4" s="60"/>
      <c r="AN4" s="60"/>
      <c r="AP4" s="144"/>
    </row>
    <row r="5" spans="1:49" ht="15" customHeight="1">
      <c r="A5" s="120"/>
      <c r="B5" s="2084"/>
      <c r="C5" s="2086"/>
      <c r="D5" s="2075" t="s">
        <v>410</v>
      </c>
      <c r="E5" s="2076"/>
      <c r="F5" s="685" t="str">
        <f>IF(F4&lt;&gt;"",IF(OR(WEEKDAY(DATE($AO$1,$AO$2,F$4),2)&gt;6,COUNTIF('休日情報(要更新)'!$A$5:$J$32,DATE($AO$1,$AO$2,F$4)) &gt;=1),"○",IF(WEEKDAY(DATE($AO$1,$AO$2,F$4),2)=6,"●","")),"")</f>
        <v/>
      </c>
      <c r="G5" s="685" t="str">
        <f>IF(G4&lt;&gt;"",IF(OR(WEEKDAY(DATE($AO$1,$AO$2,G$4),2)&gt;6,COUNTIF('休日情報(要更新)'!$A$5:$J$32,DATE($AO$1,$AO$2,G$4)) &gt;=1),"○",IF(WEEKDAY(DATE($AO$1,$AO$2,G$4),2)=6,"●","")),"")</f>
        <v/>
      </c>
      <c r="H5" s="685" t="str">
        <f>IF(H4&lt;&gt;"",IF(OR(WEEKDAY(DATE($AO$1,$AO$2,H$4),2)&gt;6,COUNTIF('休日情報(要更新)'!$A$5:$J$32,DATE($AO$1,$AO$2,H$4)) &gt;=1),"○",IF(WEEKDAY(DATE($AO$1,$AO$2,H$4),2)=6,"●","")),"")</f>
        <v/>
      </c>
      <c r="I5" s="685" t="str">
        <f>IF(I4&lt;&gt;"",IF(OR(WEEKDAY(DATE($AO$1,$AO$2,I$4),2)&gt;6,COUNTIF('休日情報(要更新)'!$A$5:$J$32,DATE($AO$1,$AO$2,I$4)) &gt;=1),"○",IF(WEEKDAY(DATE($AO$1,$AO$2,I$4),2)=6,"●","")),"")</f>
        <v/>
      </c>
      <c r="J5" s="685" t="str">
        <f>IF(J4&lt;&gt;"",IF(OR(WEEKDAY(DATE($AO$1,$AO$2,J$4),2)&gt;6,COUNTIF('休日情報(要更新)'!$A$5:$J$32,DATE($AO$1,$AO$2,J$4)) &gt;=1),"○",IF(WEEKDAY(DATE($AO$1,$AO$2,J$4),2)=6,"●","")),"")</f>
        <v>●</v>
      </c>
      <c r="K5" s="685" t="str">
        <f>IF(K4&lt;&gt;"",IF(OR(WEEKDAY(DATE($AO$1,$AO$2,K$4),2)&gt;6,COUNTIF('休日情報(要更新)'!$A$5:$J$32,DATE($AO$1,$AO$2,K$4)) &gt;=1),"○",IF(WEEKDAY(DATE($AO$1,$AO$2,K$4),2)=6,"●","")),"")</f>
        <v>○</v>
      </c>
      <c r="L5" s="685" t="str">
        <f>IF(L4&lt;&gt;"",IF(OR(WEEKDAY(DATE($AO$1,$AO$2,L$4),2)&gt;6,COUNTIF('休日情報(要更新)'!$A$5:$J$32,DATE($AO$1,$AO$2,L$4)) &gt;=1),"○",IF(WEEKDAY(DATE($AO$1,$AO$2,L$4),2)=6,"●","")),"")</f>
        <v/>
      </c>
      <c r="M5" s="685" t="str">
        <f>IF(M4&lt;&gt;"",IF(OR(WEEKDAY(DATE($AO$1,$AO$2,M$4),2)&gt;6,COUNTIF('休日情報(要更新)'!$A$5:$J$32,DATE($AO$1,$AO$2,M$4)) &gt;=1),"○",IF(WEEKDAY(DATE($AO$1,$AO$2,M$4),2)=6,"●","")),"")</f>
        <v/>
      </c>
      <c r="N5" s="685" t="str">
        <f>IF(N4&lt;&gt;"",IF(OR(WEEKDAY(DATE($AO$1,$AO$2,N$4),2)&gt;6,COUNTIF('休日情報(要更新)'!$A$5:$J$32,DATE($AO$1,$AO$2,N$4)) &gt;=1),"○",IF(WEEKDAY(DATE($AO$1,$AO$2,N$4),2)=6,"●","")),"")</f>
        <v/>
      </c>
      <c r="O5" s="685" t="str">
        <f>IF(O4&lt;&gt;"",IF(OR(WEEKDAY(DATE($AO$1,$AO$2,O$4),2)&gt;6,COUNTIF('休日情報(要更新)'!$A$5:$J$32,DATE($AO$1,$AO$2,O$4)) &gt;=1),"○",IF(WEEKDAY(DATE($AO$1,$AO$2,O$4),2)=6,"●","")),"")</f>
        <v/>
      </c>
      <c r="P5" s="685" t="str">
        <f>IF(P4&lt;&gt;"",IF(OR(WEEKDAY(DATE($AO$1,$AO$2,P$4),2)&gt;6,COUNTIF('休日情報(要更新)'!$A$5:$J$32,DATE($AO$1,$AO$2,P$4)) &gt;=1),"○",IF(WEEKDAY(DATE($AO$1,$AO$2,P$4),2)=6,"●","")),"")</f>
        <v/>
      </c>
      <c r="Q5" s="685" t="str">
        <f>IF(Q4&lt;&gt;"",IF(OR(WEEKDAY(DATE($AO$1,$AO$2,Q$4),2)&gt;6,COUNTIF('休日情報(要更新)'!$A$5:$J$32,DATE($AO$1,$AO$2,Q$4)) &gt;=1),"○",IF(WEEKDAY(DATE($AO$1,$AO$2,Q$4),2)=6,"●","")),"")</f>
        <v>●</v>
      </c>
      <c r="R5" s="685" t="str">
        <f>IF(R4&lt;&gt;"",IF(OR(WEEKDAY(DATE($AO$1,$AO$2,R$4),2)&gt;6,COUNTIF('休日情報(要更新)'!$A$5:$J$32,DATE($AO$1,$AO$2,R$4)) &gt;=1),"○",IF(WEEKDAY(DATE($AO$1,$AO$2,R$4),2)=6,"●","")),"")</f>
        <v>○</v>
      </c>
      <c r="S5" s="685" t="str">
        <f>IF(S4&lt;&gt;"",IF(OR(WEEKDAY(DATE($AO$1,$AO$2,S$4),2)&gt;6,COUNTIF('休日情報(要更新)'!$A$5:$J$32,DATE($AO$1,$AO$2,S$4)) &gt;=1),"○",IF(WEEKDAY(DATE($AO$1,$AO$2,S$4),2)=6,"●","")),"")</f>
        <v/>
      </c>
      <c r="T5" s="685" t="str">
        <f>IF(T4&lt;&gt;"",IF(OR(WEEKDAY(DATE($AO$1,$AO$2,T$4),2)&gt;6,COUNTIF('休日情報(要更新)'!$A$5:$J$32,DATE($AO$1,$AO$2,T$4)) &gt;=1),"○",IF(WEEKDAY(DATE($AO$1,$AO$2,T$4),2)=6,"●","")),"")</f>
        <v/>
      </c>
      <c r="U5" s="685" t="str">
        <f>IF(U4&lt;&gt;"",IF(OR(WEEKDAY(DATE($AO$1,$AO$2,U$4),2)&gt;6,COUNTIF('休日情報(要更新)'!$A$5:$J$32,DATE($AO$1,$AO$2,U$4)) &gt;=1),"○",IF(WEEKDAY(DATE($AO$1,$AO$2,U$4),2)=6,"●","")),"")</f>
        <v/>
      </c>
      <c r="V5" s="685" t="str">
        <f>IF(V4&lt;&gt;"",IF(OR(WEEKDAY(DATE($AO$1,$AO$2,V$4),2)&gt;6,COUNTIF('休日情報(要更新)'!$A$5:$J$32,DATE($AO$1,$AO$2,V$4)) &gt;=1),"○",IF(WEEKDAY(DATE($AO$1,$AO$2,V$4),2)=6,"●","")),"")</f>
        <v/>
      </c>
      <c r="W5" s="685" t="str">
        <f>IF(W4&lt;&gt;"",IF(OR(WEEKDAY(DATE($AO$1,$AO$2,W$4),2)&gt;6,COUNTIF('休日情報(要更新)'!$A$5:$J$32,DATE($AO$1,$AO$2,W$4)) &gt;=1),"○",IF(WEEKDAY(DATE($AO$1,$AO$2,W$4),2)=6,"●","")),"")</f>
        <v/>
      </c>
      <c r="X5" s="685" t="str">
        <f>IF(X4&lt;&gt;"",IF(OR(WEEKDAY(DATE($AO$1,$AO$2,X$4),2)&gt;6,COUNTIF('休日情報(要更新)'!$A$5:$J$32,DATE($AO$1,$AO$2,X$4)) &gt;=1),"○",IF(WEEKDAY(DATE($AO$1,$AO$2,X$4),2)=6,"●","")),"")</f>
        <v>●</v>
      </c>
      <c r="Y5" s="685" t="str">
        <f>IF(Y4&lt;&gt;"",IF(OR(WEEKDAY(DATE($AO$1,$AO$2,Y$4),2)&gt;6,COUNTIF('休日情報(要更新)'!$A$5:$J$32,DATE($AO$1,$AO$2,Y$4)) &gt;=1),"○",IF(WEEKDAY(DATE($AO$1,$AO$2,Y$4),2)=6,"●","")),"")</f>
        <v>○</v>
      </c>
      <c r="Z5" s="685" t="str">
        <f>IF(Z4&lt;&gt;"",IF(OR(WEEKDAY(DATE($AO$1,$AO$2,Z$4),2)&gt;6,COUNTIF('休日情報(要更新)'!$A$5:$J$32,DATE($AO$1,$AO$2,Z$4)) &gt;=1),"○",IF(WEEKDAY(DATE($AO$1,$AO$2,Z$4),2)=6,"●","")),"")</f>
        <v/>
      </c>
      <c r="AA5" s="685" t="str">
        <f>IF(AA4&lt;&gt;"",IF(OR(WEEKDAY(DATE($AO$1,$AO$2,AA$4),2)&gt;6,COUNTIF('休日情報(要更新)'!$A$5:$J$32,DATE($AO$1,$AO$2,AA$4)) &gt;=1),"○",IF(WEEKDAY(DATE($AO$1,$AO$2,AA$4),2)=6,"●","")),"")</f>
        <v/>
      </c>
      <c r="AB5" s="685" t="str">
        <f>IF(AB4&lt;&gt;"",IF(OR(WEEKDAY(DATE($AO$1,$AO$2,AB$4),2)&gt;6,COUNTIF('休日情報(要更新)'!$A$5:$J$32,DATE($AO$1,$AO$2,AB$4)) &gt;=1),"○",IF(WEEKDAY(DATE($AO$1,$AO$2,AB$4),2)=6,"●","")),"")</f>
        <v/>
      </c>
      <c r="AC5" s="685" t="str">
        <f>IF(AC4&lt;&gt;"",IF(OR(WEEKDAY(DATE($AO$1,$AO$2,AC$4),2)&gt;6,COUNTIF('休日情報(要更新)'!$A$5:$J$32,DATE($AO$1,$AO$2,AC$4)) &gt;=1),"○",IF(WEEKDAY(DATE($AO$1,$AO$2,AC$4),2)=6,"●","")),"")</f>
        <v/>
      </c>
      <c r="AD5" s="685" t="str">
        <f>IF(AD4&lt;&gt;"",IF(OR(WEEKDAY(DATE($AO$1,$AO$2,AD$4),2)&gt;6,COUNTIF('休日情報(要更新)'!$A$5:$J$32,DATE($AO$1,$AO$2,AD$4)) &gt;=1),"○",IF(WEEKDAY(DATE($AO$1,$AO$2,AD$4),2)=6,"●","")),"")</f>
        <v/>
      </c>
      <c r="AE5" s="685" t="str">
        <f>IF(AE4&lt;&gt;"",IF(OR(WEEKDAY(DATE($AO$1,$AO$2,AE$4),2)&gt;6,COUNTIF('休日情報(要更新)'!$A$5:$J$32,DATE($AO$1,$AO$2,AE$4)) &gt;=1),"○",IF(WEEKDAY(DATE($AO$1,$AO$2,AE$4),2)=6,"●","")),"")</f>
        <v>●</v>
      </c>
      <c r="AF5" s="685" t="str">
        <f>IF(AF4&lt;&gt;"",IF(OR(WEEKDAY(DATE($AO$1,$AO$2,AF$4),2)&gt;6,COUNTIF('休日情報(要更新)'!$A$5:$J$32,DATE($AO$1,$AO$2,AF$4)) &gt;=1),"○",IF(WEEKDAY(DATE($AO$1,$AO$2,AF$4),2)=6,"●","")),"")</f>
        <v>○</v>
      </c>
      <c r="AG5" s="685" t="str">
        <f>IF(AG4&lt;&gt;"",IF(OR(WEEKDAY(DATE($AO$1,$AO$2,AG$4),2)&gt;6,COUNTIF('休日情報(要更新)'!$A$5:$J$32,DATE($AO$1,$AO$2,AG$4)) &gt;=1),"○",IF(WEEKDAY(DATE($AO$1,$AO$2,AG$4),2)=6,"●","")),"")</f>
        <v/>
      </c>
      <c r="AH5" s="685" t="str">
        <f>IF(AH4&lt;&gt;"",IF(OR(WEEKDAY(DATE($AO$1,$AO$2,AH$4),2)&gt;6,COUNTIF('休日情報(要更新)'!$A$5:$J$32,DATE($AO$1,$AO$2,AH$4)) &gt;=1),"○",IF(WEEKDAY(DATE($AO$1,$AO$2,AH$4),2)=6,"●","")),"")</f>
        <v>○</v>
      </c>
      <c r="AI5" s="685" t="str">
        <f>IF(AI4&lt;&gt;"",IF(OR(WEEKDAY(DATE($AO$1,$AO$2,AI$4),2)&gt;6,COUNTIF('休日情報(要更新)'!$A$5:$J$32,DATE($AO$1,$AO$2,AI$4)) &gt;=1),"○",IF(WEEKDAY(DATE($AO$1,$AO$2,AI$4),2)=6,"●","")),"")</f>
        <v/>
      </c>
      <c r="AJ5" s="685" t="str">
        <f>IF(AJ4&lt;&gt;"",IF(OR(WEEKDAY(DATE($AO$1,$AO$2,AJ$4),2)&gt;6,COUNTIF('休日情報(要更新)'!$A$5:$J$32,DATE($AO$1,$AO$2,AJ$4)) &gt;=1),"○",""),"")</f>
        <v/>
      </c>
      <c r="AK5" s="2074"/>
      <c r="AL5" s="125"/>
      <c r="AM5" s="60"/>
      <c r="AN5" s="60"/>
      <c r="AP5" s="144"/>
    </row>
    <row r="6" spans="1:49" ht="15" customHeight="1" thickBot="1">
      <c r="A6" s="120"/>
      <c r="B6" s="2084"/>
      <c r="C6" s="2059"/>
      <c r="D6" s="2077" t="s">
        <v>383</v>
      </c>
      <c r="E6" s="2078"/>
      <c r="F6" s="985" t="str">
        <f t="shared" ref="F6:AG6" si="0">HLOOKUP(WEEKDAY(DATE($AO$1,$AO$2,F$4)),$AQ$1:$AW$2,2,FALSE)</f>
        <v>（火）</v>
      </c>
      <c r="G6" s="985" t="str">
        <f t="shared" si="0"/>
        <v>（水）</v>
      </c>
      <c r="H6" s="985" t="str">
        <f t="shared" si="0"/>
        <v>（木）</v>
      </c>
      <c r="I6" s="985" t="str">
        <f t="shared" si="0"/>
        <v>（金）</v>
      </c>
      <c r="J6" s="985" t="str">
        <f t="shared" si="0"/>
        <v>（土）</v>
      </c>
      <c r="K6" s="985" t="str">
        <f t="shared" si="0"/>
        <v>（日）</v>
      </c>
      <c r="L6" s="985" t="str">
        <f t="shared" si="0"/>
        <v>（月）</v>
      </c>
      <c r="M6" s="985" t="str">
        <f t="shared" si="0"/>
        <v>（火）</v>
      </c>
      <c r="N6" s="985" t="str">
        <f t="shared" si="0"/>
        <v>（水）</v>
      </c>
      <c r="O6" s="985" t="str">
        <f t="shared" si="0"/>
        <v>（木）</v>
      </c>
      <c r="P6" s="985" t="str">
        <f t="shared" si="0"/>
        <v>（金）</v>
      </c>
      <c r="Q6" s="985" t="str">
        <f t="shared" si="0"/>
        <v>（土）</v>
      </c>
      <c r="R6" s="985" t="str">
        <f t="shared" si="0"/>
        <v>（日）</v>
      </c>
      <c r="S6" s="985" t="str">
        <f t="shared" si="0"/>
        <v>（月）</v>
      </c>
      <c r="T6" s="985" t="str">
        <f t="shared" si="0"/>
        <v>（火）</v>
      </c>
      <c r="U6" s="985" t="str">
        <f t="shared" si="0"/>
        <v>（水）</v>
      </c>
      <c r="V6" s="985" t="str">
        <f t="shared" si="0"/>
        <v>（木）</v>
      </c>
      <c r="W6" s="985" t="str">
        <f t="shared" si="0"/>
        <v>（金）</v>
      </c>
      <c r="X6" s="985" t="str">
        <f t="shared" si="0"/>
        <v>（土）</v>
      </c>
      <c r="Y6" s="985" t="str">
        <f t="shared" si="0"/>
        <v>（日）</v>
      </c>
      <c r="Z6" s="985" t="str">
        <f t="shared" si="0"/>
        <v>（月）</v>
      </c>
      <c r="AA6" s="985" t="str">
        <f t="shared" si="0"/>
        <v>（火）</v>
      </c>
      <c r="AB6" s="985" t="str">
        <f t="shared" si="0"/>
        <v>（水）</v>
      </c>
      <c r="AC6" s="985" t="str">
        <f t="shared" si="0"/>
        <v>（木）</v>
      </c>
      <c r="AD6" s="985" t="str">
        <f t="shared" si="0"/>
        <v>（金）</v>
      </c>
      <c r="AE6" s="985" t="str">
        <f t="shared" si="0"/>
        <v>（土）</v>
      </c>
      <c r="AF6" s="985" t="str">
        <f t="shared" si="0"/>
        <v>（日）</v>
      </c>
      <c r="AG6" s="985" t="str">
        <f t="shared" si="0"/>
        <v>（月）</v>
      </c>
      <c r="AH6" s="985" t="str">
        <f>IF(AH4&lt;&gt;"",HLOOKUP(WEEKDAY(DATE($AO$1,$AO$2,AH$4)),$AQ$1:$AW$2,2,FALSE),"")</f>
        <v>（火）</v>
      </c>
      <c r="AI6" s="985" t="str">
        <f>IF(AI4&lt;&gt;"",HLOOKUP(WEEKDAY(DATE($AO$1,$AO$2,AI$4)),$AQ$1:$AW$2,2,FALSE),"")</f>
        <v>（水）</v>
      </c>
      <c r="AJ6" s="985" t="str">
        <f>IF(AJ4&lt;&gt;"",HLOOKUP(WEEKDAY(DATE($AO$1,$AO$2,AJ$4)),$AQ$1:$AW$2,2,FALSE),"")</f>
        <v/>
      </c>
      <c r="AK6" s="2074"/>
      <c r="AL6" s="125"/>
      <c r="AM6" s="60"/>
      <c r="AP6" s="144"/>
    </row>
    <row r="7" spans="1:49" ht="15" customHeight="1">
      <c r="A7" s="690"/>
      <c r="B7" s="162">
        <f>ROW()-6</f>
        <v>1</v>
      </c>
      <c r="C7" s="691" t="str">
        <f>IFERROR(INDEX(【様式2】職員名簿!$B$40:$B$139,MATCH($B7,【様式2】職員名簿!$M$40:$M$139,0),1),"")</f>
        <v/>
      </c>
      <c r="D7" s="2079" t="s">
        <v>384</v>
      </c>
      <c r="E7" s="2080"/>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686">
        <f>MIN(SUMIF($F$4:$AJ$4,"&gt;0",F7:AJ7),【様式2】職員名簿!$F$5)</f>
        <v>0</v>
      </c>
      <c r="AL7" s="145"/>
      <c r="AM7" s="60"/>
      <c r="AP7" s="144"/>
    </row>
    <row r="8" spans="1:49" ht="15" customHeight="1">
      <c r="A8" s="122"/>
      <c r="B8" s="164">
        <f t="shared" ref="B8:B106" si="1">ROW()-6</f>
        <v>2</v>
      </c>
      <c r="C8" s="692" t="str">
        <f>IFERROR(INDEX(【様式2】職員名簿!$B$40:$B$139,MATCH($B8,【様式2】職員名簿!$M$40:$M$139,0),1),"")</f>
        <v/>
      </c>
      <c r="D8" s="2042" t="s">
        <v>384</v>
      </c>
      <c r="E8" s="2043"/>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687">
        <f>MIN(SUMIF($F$4:$AJ$4,"&gt;0",F8:AJ8),【様式2】職員名簿!$F$5)</f>
        <v>0</v>
      </c>
    </row>
    <row r="9" spans="1:49" ht="15" customHeight="1">
      <c r="A9" s="122"/>
      <c r="B9" s="164">
        <f t="shared" si="1"/>
        <v>3</v>
      </c>
      <c r="C9" s="692" t="str">
        <f>IFERROR(INDEX(【様式2】職員名簿!$B$40:$B$139,MATCH($B9,【様式2】職員名簿!$M$40:$M$139,0),1),"")</f>
        <v/>
      </c>
      <c r="D9" s="2042" t="s">
        <v>384</v>
      </c>
      <c r="E9" s="2043"/>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687">
        <f>MIN(SUMIF($F$4:$AJ$4,"&gt;0",F9:AJ9),【様式2】職員名簿!$F$5)</f>
        <v>0</v>
      </c>
    </row>
    <row r="10" spans="1:49" ht="15" customHeight="1">
      <c r="A10" s="122"/>
      <c r="B10" s="164">
        <f t="shared" si="1"/>
        <v>4</v>
      </c>
      <c r="C10" s="692" t="str">
        <f>IFERROR(INDEX(【様式2】職員名簿!$B$40:$B$139,MATCH($B10,【様式2】職員名簿!$M$40:$M$139,0),1),"")</f>
        <v/>
      </c>
      <c r="D10" s="2042" t="s">
        <v>384</v>
      </c>
      <c r="E10" s="2043"/>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687">
        <f>MIN(SUMIF($F$4:$AJ$4,"&gt;0",F10:AJ10),【様式2】職員名簿!$F$5)</f>
        <v>0</v>
      </c>
    </row>
    <row r="11" spans="1:49" ht="15" customHeight="1">
      <c r="A11" s="122"/>
      <c r="B11" s="164">
        <f t="shared" si="1"/>
        <v>5</v>
      </c>
      <c r="C11" s="692" t="str">
        <f>IFERROR(INDEX(【様式2】職員名簿!$B$40:$B$139,MATCH($B11,【様式2】職員名簿!$M$40:$M$139,0),1),"")</f>
        <v/>
      </c>
      <c r="D11" s="2042" t="s">
        <v>384</v>
      </c>
      <c r="E11" s="2043"/>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687">
        <f>MIN(SUMIF($F$4:$AJ$4,"&gt;0",F11:AJ11),【様式2】職員名簿!$F$5)</f>
        <v>0</v>
      </c>
    </row>
    <row r="12" spans="1:49" ht="15" customHeight="1">
      <c r="A12" s="122"/>
      <c r="B12" s="164">
        <f t="shared" si="1"/>
        <v>6</v>
      </c>
      <c r="C12" s="692" t="str">
        <f>IFERROR(INDEX(【様式2】職員名簿!$B$40:$B$139,MATCH($B12,【様式2】職員名簿!$M$40:$M$139,0),1),"")</f>
        <v/>
      </c>
      <c r="D12" s="2042" t="s">
        <v>384</v>
      </c>
      <c r="E12" s="2043"/>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687">
        <f>MIN(SUMIF($F$4:$AJ$4,"&gt;0",F12:AJ12),【様式2】職員名簿!$F$5)</f>
        <v>0</v>
      </c>
    </row>
    <row r="13" spans="1:49" ht="15" customHeight="1">
      <c r="A13" s="122"/>
      <c r="B13" s="164">
        <f t="shared" si="1"/>
        <v>7</v>
      </c>
      <c r="C13" s="692" t="str">
        <f>IFERROR(INDEX(【様式2】職員名簿!$B$40:$B$139,MATCH($B13,【様式2】職員名簿!$M$40:$M$139,0),1),"")</f>
        <v/>
      </c>
      <c r="D13" s="2042" t="s">
        <v>384</v>
      </c>
      <c r="E13" s="2043"/>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687">
        <f>MIN(SUMIF($F$4:$AJ$4,"&gt;0",F13:AJ13),【様式2】職員名簿!$F$5)</f>
        <v>0</v>
      </c>
    </row>
    <row r="14" spans="1:49" ht="15" customHeight="1">
      <c r="A14" s="122"/>
      <c r="B14" s="164">
        <f t="shared" si="1"/>
        <v>8</v>
      </c>
      <c r="C14" s="692" t="str">
        <f>IFERROR(INDEX(【様式2】職員名簿!$B$40:$B$139,MATCH($B14,【様式2】職員名簿!$M$40:$M$139,0),1),"")</f>
        <v/>
      </c>
      <c r="D14" s="2042" t="s">
        <v>384</v>
      </c>
      <c r="E14" s="2043"/>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687">
        <f>MIN(SUMIF($F$4:$AJ$4,"&gt;0",F14:AJ14),【様式2】職員名簿!$F$5)</f>
        <v>0</v>
      </c>
    </row>
    <row r="15" spans="1:49" ht="15" customHeight="1">
      <c r="A15" s="122"/>
      <c r="B15" s="164">
        <f t="shared" si="1"/>
        <v>9</v>
      </c>
      <c r="C15" s="692" t="str">
        <f>IFERROR(INDEX(【様式2】職員名簿!$B$40:$B$139,MATCH($B15,【様式2】職員名簿!$M$40:$M$139,0),1),"")</f>
        <v/>
      </c>
      <c r="D15" s="2042" t="s">
        <v>384</v>
      </c>
      <c r="E15" s="2043"/>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687">
        <f>MIN(SUMIF($F$4:$AJ$4,"&gt;0",F15:AJ15),【様式2】職員名簿!$F$5)</f>
        <v>0</v>
      </c>
    </row>
    <row r="16" spans="1:49" ht="15" customHeight="1">
      <c r="A16" s="122"/>
      <c r="B16" s="164">
        <f t="shared" si="1"/>
        <v>10</v>
      </c>
      <c r="C16" s="692" t="str">
        <f>IFERROR(INDEX(【様式2】職員名簿!$B$40:$B$139,MATCH($B16,【様式2】職員名簿!$M$40:$M$139,0),1),"")</f>
        <v/>
      </c>
      <c r="D16" s="2042" t="s">
        <v>384</v>
      </c>
      <c r="E16" s="2043"/>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687">
        <f>MIN(SUMIF($F$4:$AJ$4,"&gt;0",F16:AJ16),【様式2】職員名簿!$F$5)</f>
        <v>0</v>
      </c>
    </row>
    <row r="17" spans="1:37" ht="15" customHeight="1">
      <c r="A17" s="122"/>
      <c r="B17" s="164">
        <f t="shared" si="1"/>
        <v>11</v>
      </c>
      <c r="C17" s="692" t="str">
        <f>IFERROR(INDEX(【様式2】職員名簿!$B$40:$B$139,MATCH($B17,【様式2】職員名簿!$M$40:$M$139,0),1),"")</f>
        <v/>
      </c>
      <c r="D17" s="2042" t="s">
        <v>384</v>
      </c>
      <c r="E17" s="2043"/>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687">
        <f>MIN(SUMIF($F$4:$AJ$4,"&gt;0",F17:AJ17),【様式2】職員名簿!$F$5)</f>
        <v>0</v>
      </c>
    </row>
    <row r="18" spans="1:37" ht="15" customHeight="1">
      <c r="A18" s="122"/>
      <c r="B18" s="164">
        <f t="shared" si="1"/>
        <v>12</v>
      </c>
      <c r="C18" s="692" t="str">
        <f>IFERROR(INDEX(【様式2】職員名簿!$B$40:$B$139,MATCH($B18,【様式2】職員名簿!$M$40:$M$139,0),1),"")</f>
        <v/>
      </c>
      <c r="D18" s="2042" t="s">
        <v>384</v>
      </c>
      <c r="E18" s="2043"/>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687">
        <f>MIN(SUMIF($F$4:$AJ$4,"&gt;0",F18:AJ18),【様式2】職員名簿!$F$5)</f>
        <v>0</v>
      </c>
    </row>
    <row r="19" spans="1:37" ht="15" customHeight="1">
      <c r="A19" s="122"/>
      <c r="B19" s="164">
        <f t="shared" si="1"/>
        <v>13</v>
      </c>
      <c r="C19" s="692" t="str">
        <f>IFERROR(INDEX(【様式2】職員名簿!$B$40:$B$139,MATCH($B19,【様式2】職員名簿!$M$40:$M$139,0),1),"")</f>
        <v/>
      </c>
      <c r="D19" s="2042" t="s">
        <v>384</v>
      </c>
      <c r="E19" s="2043"/>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687">
        <f>MIN(SUMIF($F$4:$AJ$4,"&gt;0",F19:AJ19),【様式2】職員名簿!$F$5)</f>
        <v>0</v>
      </c>
    </row>
    <row r="20" spans="1:37" ht="15" customHeight="1">
      <c r="A20" s="122"/>
      <c r="B20" s="164">
        <f t="shared" si="1"/>
        <v>14</v>
      </c>
      <c r="C20" s="692" t="str">
        <f>IFERROR(INDEX(【様式2】職員名簿!$B$40:$B$139,MATCH($B20,【様式2】職員名簿!$M$40:$M$139,0),1),"")</f>
        <v/>
      </c>
      <c r="D20" s="2042" t="s">
        <v>384</v>
      </c>
      <c r="E20" s="2043"/>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687">
        <f>MIN(SUMIF($F$4:$AJ$4,"&gt;0",F20:AJ20),【様式2】職員名簿!$F$5)</f>
        <v>0</v>
      </c>
    </row>
    <row r="21" spans="1:37" ht="15" customHeight="1">
      <c r="A21" s="122"/>
      <c r="B21" s="164">
        <f t="shared" si="1"/>
        <v>15</v>
      </c>
      <c r="C21" s="692" t="str">
        <f>IFERROR(INDEX(【様式2】職員名簿!$B$40:$B$139,MATCH($B21,【様式2】職員名簿!$M$40:$M$139,0),1),"")</f>
        <v/>
      </c>
      <c r="D21" s="2042" t="s">
        <v>384</v>
      </c>
      <c r="E21" s="2043"/>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687">
        <f>MIN(SUMIF($F$4:$AJ$4,"&gt;0",F21:AJ21),【様式2】職員名簿!$F$5)</f>
        <v>0</v>
      </c>
    </row>
    <row r="22" spans="1:37" ht="15" customHeight="1">
      <c r="A22" s="122"/>
      <c r="B22" s="164">
        <f t="shared" si="1"/>
        <v>16</v>
      </c>
      <c r="C22" s="692" t="str">
        <f>IFERROR(INDEX(【様式2】職員名簿!$B$40:$B$139,MATCH($B22,【様式2】職員名簿!$M$40:$M$139,0),1),"")</f>
        <v/>
      </c>
      <c r="D22" s="2042" t="s">
        <v>384</v>
      </c>
      <c r="E22" s="2043"/>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687">
        <f>MIN(SUMIF($F$4:$AJ$4,"&gt;0",F22:AJ22),【様式2】職員名簿!$F$5)</f>
        <v>0</v>
      </c>
    </row>
    <row r="23" spans="1:37" ht="15" customHeight="1">
      <c r="A23" s="122"/>
      <c r="B23" s="164">
        <f t="shared" si="1"/>
        <v>17</v>
      </c>
      <c r="C23" s="692" t="str">
        <f>IFERROR(INDEX(【様式2】職員名簿!$B$40:$B$139,MATCH($B23,【様式2】職員名簿!$M$40:$M$139,0),1),"")</f>
        <v/>
      </c>
      <c r="D23" s="2042" t="s">
        <v>384</v>
      </c>
      <c r="E23" s="2043"/>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687">
        <f>MIN(SUMIF($F$4:$AJ$4,"&gt;0",F23:AJ23),【様式2】職員名簿!$F$5)</f>
        <v>0</v>
      </c>
    </row>
    <row r="24" spans="1:37" ht="15" customHeight="1">
      <c r="A24" s="122"/>
      <c r="B24" s="164">
        <f t="shared" si="1"/>
        <v>18</v>
      </c>
      <c r="C24" s="692" t="str">
        <f>IFERROR(INDEX(【様式2】職員名簿!$B$40:$B$139,MATCH($B24,【様式2】職員名簿!$M$40:$M$139,0),1),"")</f>
        <v/>
      </c>
      <c r="D24" s="2042" t="s">
        <v>384</v>
      </c>
      <c r="E24" s="2043"/>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687">
        <f>MIN(SUMIF($F$4:$AJ$4,"&gt;0",F24:AJ24),【様式2】職員名簿!$F$5)</f>
        <v>0</v>
      </c>
    </row>
    <row r="25" spans="1:37" ht="15" customHeight="1">
      <c r="A25" s="122"/>
      <c r="B25" s="164">
        <f t="shared" si="1"/>
        <v>19</v>
      </c>
      <c r="C25" s="692" t="str">
        <f>IFERROR(INDEX(【様式2】職員名簿!$B$40:$B$139,MATCH($B25,【様式2】職員名簿!$M$40:$M$139,0),1),"")</f>
        <v/>
      </c>
      <c r="D25" s="2042" t="s">
        <v>384</v>
      </c>
      <c r="E25" s="2043"/>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687">
        <f>MIN(SUMIF($F$4:$AJ$4,"&gt;0",F25:AJ25),【様式2】職員名簿!$F$5)</f>
        <v>0</v>
      </c>
    </row>
    <row r="26" spans="1:37" ht="15" customHeight="1">
      <c r="A26" s="122"/>
      <c r="B26" s="164">
        <f t="shared" si="1"/>
        <v>20</v>
      </c>
      <c r="C26" s="692" t="str">
        <f>IFERROR(INDEX(【様式2】職員名簿!$B$40:$B$139,MATCH($B26,【様式2】職員名簿!$M$40:$M$139,0),1),"")</f>
        <v/>
      </c>
      <c r="D26" s="2042" t="s">
        <v>384</v>
      </c>
      <c r="E26" s="2043"/>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687">
        <f>MIN(SUMIF($F$4:$AJ$4,"&gt;0",F26:AJ26),【様式2】職員名簿!$F$5)</f>
        <v>0</v>
      </c>
    </row>
    <row r="27" spans="1:37" ht="15" customHeight="1">
      <c r="A27" s="122"/>
      <c r="B27" s="164">
        <f t="shared" si="1"/>
        <v>21</v>
      </c>
      <c r="C27" s="692" t="str">
        <f>IFERROR(INDEX(【様式2】職員名簿!$B$40:$B$139,MATCH($B27,【様式2】職員名簿!$M$40:$M$139,0),1),"")</f>
        <v/>
      </c>
      <c r="D27" s="2042" t="s">
        <v>384</v>
      </c>
      <c r="E27" s="2043"/>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687">
        <f>MIN(SUMIF($F$4:$AJ$4,"&gt;0",F27:AJ27),【様式2】職員名簿!$F$5)</f>
        <v>0</v>
      </c>
    </row>
    <row r="28" spans="1:37" ht="15" customHeight="1">
      <c r="A28" s="122"/>
      <c r="B28" s="164">
        <f t="shared" si="1"/>
        <v>22</v>
      </c>
      <c r="C28" s="692" t="str">
        <f>IFERROR(INDEX(【様式2】職員名簿!$B$40:$B$139,MATCH($B28,【様式2】職員名簿!$M$40:$M$139,0),1),"")</f>
        <v/>
      </c>
      <c r="D28" s="2042" t="s">
        <v>384</v>
      </c>
      <c r="E28" s="2043"/>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687">
        <f>MIN(SUMIF($F$4:$AJ$4,"&gt;0",F28:AJ28),【様式2】職員名簿!$F$5)</f>
        <v>0</v>
      </c>
    </row>
    <row r="29" spans="1:37" ht="15" customHeight="1">
      <c r="A29" s="122"/>
      <c r="B29" s="164">
        <f t="shared" si="1"/>
        <v>23</v>
      </c>
      <c r="C29" s="692" t="str">
        <f>IFERROR(INDEX(【様式2】職員名簿!$B$40:$B$139,MATCH($B29,【様式2】職員名簿!$M$40:$M$139,0),1),"")</f>
        <v/>
      </c>
      <c r="D29" s="2042" t="s">
        <v>384</v>
      </c>
      <c r="E29" s="2043"/>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687">
        <f>MIN(SUMIF($F$4:$AJ$4,"&gt;0",F29:AJ29),【様式2】職員名簿!$F$5)</f>
        <v>0</v>
      </c>
    </row>
    <row r="30" spans="1:37" ht="15" customHeight="1">
      <c r="A30" s="122"/>
      <c r="B30" s="164">
        <f t="shared" si="1"/>
        <v>24</v>
      </c>
      <c r="C30" s="692" t="str">
        <f>IFERROR(INDEX(【様式2】職員名簿!$B$40:$B$139,MATCH($B30,【様式2】職員名簿!$M$40:$M$139,0),1),"")</f>
        <v/>
      </c>
      <c r="D30" s="2042" t="s">
        <v>384</v>
      </c>
      <c r="E30" s="2043"/>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687">
        <f>MIN(SUMIF($F$4:$AJ$4,"&gt;0",F30:AJ30),【様式2】職員名簿!$F$5)</f>
        <v>0</v>
      </c>
    </row>
    <row r="31" spans="1:37" ht="15" customHeight="1">
      <c r="A31" s="122"/>
      <c r="B31" s="164">
        <f t="shared" si="1"/>
        <v>25</v>
      </c>
      <c r="C31" s="692" t="str">
        <f>IFERROR(INDEX(【様式2】職員名簿!$B$40:$B$139,MATCH($B31,【様式2】職員名簿!$M$40:$M$139,0),1),"")</f>
        <v/>
      </c>
      <c r="D31" s="2042" t="s">
        <v>384</v>
      </c>
      <c r="E31" s="2043"/>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687">
        <f>MIN(SUMIF($F$4:$AJ$4,"&gt;0",F31:AJ31),【様式2】職員名簿!$F$5)</f>
        <v>0</v>
      </c>
    </row>
    <row r="32" spans="1:37" ht="15" customHeight="1">
      <c r="A32" s="122"/>
      <c r="B32" s="164">
        <f t="shared" si="1"/>
        <v>26</v>
      </c>
      <c r="C32" s="692" t="str">
        <f>IFERROR(INDEX(【様式2】職員名簿!$B$40:$B$139,MATCH($B32,【様式2】職員名簿!$M$40:$M$139,0),1),"")</f>
        <v/>
      </c>
      <c r="D32" s="2042" t="s">
        <v>384</v>
      </c>
      <c r="E32" s="2043"/>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687">
        <f>MIN(SUMIF($F$4:$AJ$4,"&gt;0",F32:AJ32),【様式2】職員名簿!$F$5)</f>
        <v>0</v>
      </c>
    </row>
    <row r="33" spans="1:37" ht="15" customHeight="1">
      <c r="A33" s="122"/>
      <c r="B33" s="164">
        <f t="shared" si="1"/>
        <v>27</v>
      </c>
      <c r="C33" s="692" t="str">
        <f>IFERROR(INDEX(【様式2】職員名簿!$B$40:$B$139,MATCH($B33,【様式2】職員名簿!$M$40:$M$139,0),1),"")</f>
        <v/>
      </c>
      <c r="D33" s="2042" t="s">
        <v>384</v>
      </c>
      <c r="E33" s="2043"/>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687">
        <f>MIN(SUMIF($F$4:$AJ$4,"&gt;0",F33:AJ33),【様式2】職員名簿!$F$5)</f>
        <v>0</v>
      </c>
    </row>
    <row r="34" spans="1:37" ht="15" customHeight="1">
      <c r="A34" s="122"/>
      <c r="B34" s="164">
        <f t="shared" si="1"/>
        <v>28</v>
      </c>
      <c r="C34" s="692" t="str">
        <f>IFERROR(INDEX(【様式2】職員名簿!$B$40:$B$139,MATCH($B34,【様式2】職員名簿!$M$40:$M$139,0),1),"")</f>
        <v/>
      </c>
      <c r="D34" s="2042" t="s">
        <v>384</v>
      </c>
      <c r="E34" s="2043"/>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687">
        <f>MIN(SUMIF($F$4:$AJ$4,"&gt;0",F34:AJ34),【様式2】職員名簿!$F$5)</f>
        <v>0</v>
      </c>
    </row>
    <row r="35" spans="1:37" ht="15" customHeight="1">
      <c r="A35" s="122"/>
      <c r="B35" s="164">
        <f t="shared" si="1"/>
        <v>29</v>
      </c>
      <c r="C35" s="692" t="str">
        <f>IFERROR(INDEX(【様式2】職員名簿!$B$40:$B$139,MATCH($B35,【様式2】職員名簿!$M$40:$M$139,0),1),"")</f>
        <v/>
      </c>
      <c r="D35" s="2042" t="s">
        <v>384</v>
      </c>
      <c r="E35" s="2043"/>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687">
        <f>MIN(SUMIF($F$4:$AJ$4,"&gt;0",F35:AJ35),【様式2】職員名簿!$F$5)</f>
        <v>0</v>
      </c>
    </row>
    <row r="36" spans="1:37" ht="15" customHeight="1">
      <c r="A36" s="122"/>
      <c r="B36" s="164">
        <f t="shared" si="1"/>
        <v>30</v>
      </c>
      <c r="C36" s="692" t="str">
        <f>IFERROR(INDEX(【様式2】職員名簿!$B$40:$B$139,MATCH($B36,【様式2】職員名簿!$M$40:$M$139,0),1),"")</f>
        <v/>
      </c>
      <c r="D36" s="2042" t="s">
        <v>384</v>
      </c>
      <c r="E36" s="2043"/>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687">
        <f>MIN(SUMIF($F$4:$AJ$4,"&gt;0",F36:AJ36),【様式2】職員名簿!$F$5)</f>
        <v>0</v>
      </c>
    </row>
    <row r="37" spans="1:37" ht="15" customHeight="1">
      <c r="A37" s="122"/>
      <c r="B37" s="164">
        <f t="shared" si="1"/>
        <v>31</v>
      </c>
      <c r="C37" s="692" t="str">
        <f>IFERROR(INDEX(【様式2】職員名簿!$B$40:$B$139,MATCH($B37,【様式2】職員名簿!$M$40:$M$139,0),1),"")</f>
        <v/>
      </c>
      <c r="D37" s="2042" t="s">
        <v>384</v>
      </c>
      <c r="E37" s="2043"/>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687">
        <f>MIN(SUMIF($F$4:$AJ$4,"&gt;0",F37:AJ37),【様式2】職員名簿!$F$5)</f>
        <v>0</v>
      </c>
    </row>
    <row r="38" spans="1:37" ht="15" customHeight="1">
      <c r="A38" s="122"/>
      <c r="B38" s="164">
        <f t="shared" si="1"/>
        <v>32</v>
      </c>
      <c r="C38" s="692" t="str">
        <f>IFERROR(INDEX(【様式2】職員名簿!$B$40:$B$139,MATCH($B38,【様式2】職員名簿!$M$40:$M$139,0),1),"")</f>
        <v/>
      </c>
      <c r="D38" s="2042" t="s">
        <v>384</v>
      </c>
      <c r="E38" s="2043"/>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687">
        <f>MIN(SUMIF($F$4:$AJ$4,"&gt;0",F38:AJ38),【様式2】職員名簿!$F$5)</f>
        <v>0</v>
      </c>
    </row>
    <row r="39" spans="1:37" ht="15" customHeight="1">
      <c r="A39" s="122"/>
      <c r="B39" s="164">
        <f t="shared" si="1"/>
        <v>33</v>
      </c>
      <c r="C39" s="692" t="str">
        <f>IFERROR(INDEX(【様式2】職員名簿!$B$40:$B$139,MATCH($B39,【様式2】職員名簿!$M$40:$M$139,0),1),"")</f>
        <v/>
      </c>
      <c r="D39" s="2042" t="s">
        <v>384</v>
      </c>
      <c r="E39" s="2043"/>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687">
        <f>MIN(SUMIF($F$4:$AJ$4,"&gt;0",F39:AJ39),【様式2】職員名簿!$F$5)</f>
        <v>0</v>
      </c>
    </row>
    <row r="40" spans="1:37" ht="15" customHeight="1">
      <c r="A40" s="122"/>
      <c r="B40" s="164">
        <f t="shared" si="1"/>
        <v>34</v>
      </c>
      <c r="C40" s="692" t="str">
        <f>IFERROR(INDEX(【様式2】職員名簿!$B$40:$B$139,MATCH($B40,【様式2】職員名簿!$M$40:$M$139,0),1),"")</f>
        <v/>
      </c>
      <c r="D40" s="2042" t="s">
        <v>384</v>
      </c>
      <c r="E40" s="2043"/>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687">
        <f>MIN(SUMIF($F$4:$AJ$4,"&gt;0",F40:AJ40),【様式2】職員名簿!$F$5)</f>
        <v>0</v>
      </c>
    </row>
    <row r="41" spans="1:37" ht="15" customHeight="1">
      <c r="A41" s="122"/>
      <c r="B41" s="164">
        <f t="shared" si="1"/>
        <v>35</v>
      </c>
      <c r="C41" s="692" t="str">
        <f>IFERROR(INDEX(【様式2】職員名簿!$B$40:$B$139,MATCH($B41,【様式2】職員名簿!$M$40:$M$139,0),1),"")</f>
        <v/>
      </c>
      <c r="D41" s="2042" t="s">
        <v>384</v>
      </c>
      <c r="E41" s="2043"/>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687">
        <f>MIN(SUMIF($F$4:$AJ$4,"&gt;0",F41:AJ41),【様式2】職員名簿!$F$5)</f>
        <v>0</v>
      </c>
    </row>
    <row r="42" spans="1:37" ht="15" customHeight="1">
      <c r="A42" s="122"/>
      <c r="B42" s="164">
        <f t="shared" si="1"/>
        <v>36</v>
      </c>
      <c r="C42" s="692" t="str">
        <f>IFERROR(INDEX(【様式2】職員名簿!$B$40:$B$139,MATCH($B42,【様式2】職員名簿!$M$40:$M$139,0),1),"")</f>
        <v/>
      </c>
      <c r="D42" s="2042" t="s">
        <v>384</v>
      </c>
      <c r="E42" s="2043"/>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687">
        <f>MIN(SUMIF($F$4:$AJ$4,"&gt;0",F42:AJ42),【様式2】職員名簿!$F$5)</f>
        <v>0</v>
      </c>
    </row>
    <row r="43" spans="1:37" ht="15" customHeight="1">
      <c r="A43" s="122"/>
      <c r="B43" s="164">
        <f t="shared" si="1"/>
        <v>37</v>
      </c>
      <c r="C43" s="692" t="str">
        <f>IFERROR(INDEX(【様式2】職員名簿!$B$40:$B$139,MATCH($B43,【様式2】職員名簿!$M$40:$M$139,0),1),"")</f>
        <v/>
      </c>
      <c r="D43" s="2042" t="s">
        <v>384</v>
      </c>
      <c r="E43" s="2043"/>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687">
        <f>MIN(SUMIF($F$4:$AJ$4,"&gt;0",F43:AJ43),【様式2】職員名簿!$F$5)</f>
        <v>0</v>
      </c>
    </row>
    <row r="44" spans="1:37" ht="15" customHeight="1">
      <c r="A44" s="122"/>
      <c r="B44" s="164">
        <f t="shared" si="1"/>
        <v>38</v>
      </c>
      <c r="C44" s="692" t="str">
        <f>IFERROR(INDEX(【様式2】職員名簿!$B$40:$B$139,MATCH($B44,【様式2】職員名簿!$M$40:$M$139,0),1),"")</f>
        <v/>
      </c>
      <c r="D44" s="2042" t="s">
        <v>384</v>
      </c>
      <c r="E44" s="2043"/>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687">
        <f>MIN(SUMIF($F$4:$AJ$4,"&gt;0",F44:AJ44),【様式2】職員名簿!$F$5)</f>
        <v>0</v>
      </c>
    </row>
    <row r="45" spans="1:37" ht="15" customHeight="1">
      <c r="A45" s="122"/>
      <c r="B45" s="164">
        <f t="shared" si="1"/>
        <v>39</v>
      </c>
      <c r="C45" s="692" t="str">
        <f>IFERROR(INDEX(【様式2】職員名簿!$B$40:$B$139,MATCH($B45,【様式2】職員名簿!$M$40:$M$139,0),1),"")</f>
        <v/>
      </c>
      <c r="D45" s="2042" t="s">
        <v>384</v>
      </c>
      <c r="E45" s="2043"/>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687">
        <f>MIN(SUMIF($F$4:$AJ$4,"&gt;0",F45:AJ45),【様式2】職員名簿!$F$5)</f>
        <v>0</v>
      </c>
    </row>
    <row r="46" spans="1:37" ht="15" customHeight="1">
      <c r="A46" s="122"/>
      <c r="B46" s="164">
        <f t="shared" si="1"/>
        <v>40</v>
      </c>
      <c r="C46" s="692" t="str">
        <f>IFERROR(INDEX(【様式2】職員名簿!$B$40:$B$139,MATCH($B46,【様式2】職員名簿!$M$40:$M$139,0),1),"")</f>
        <v/>
      </c>
      <c r="D46" s="2042" t="s">
        <v>384</v>
      </c>
      <c r="E46" s="2043"/>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687">
        <f>MIN(SUMIF($F$4:$AJ$4,"&gt;0",F46:AJ46),【様式2】職員名簿!$F$5)</f>
        <v>0</v>
      </c>
    </row>
    <row r="47" spans="1:37" ht="15" customHeight="1">
      <c r="A47" s="122"/>
      <c r="B47" s="164">
        <f t="shared" si="1"/>
        <v>41</v>
      </c>
      <c r="C47" s="692" t="str">
        <f>IFERROR(INDEX(【様式2】職員名簿!$B$40:$B$139,MATCH($B47,【様式2】職員名簿!$M$40:$M$139,0),1),"")</f>
        <v/>
      </c>
      <c r="D47" s="2042" t="s">
        <v>384</v>
      </c>
      <c r="E47" s="2043"/>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687">
        <f>MIN(SUMIF($F$4:$AJ$4,"&gt;0",F47:AJ47),【様式2】職員名簿!$F$5)</f>
        <v>0</v>
      </c>
    </row>
    <row r="48" spans="1:37" ht="15" customHeight="1">
      <c r="A48" s="122"/>
      <c r="B48" s="164">
        <f t="shared" si="1"/>
        <v>42</v>
      </c>
      <c r="C48" s="692" t="str">
        <f>IFERROR(INDEX(【様式2】職員名簿!$B$40:$B$139,MATCH($B48,【様式2】職員名簿!$M$40:$M$139,0),1),"")</f>
        <v/>
      </c>
      <c r="D48" s="2042" t="s">
        <v>384</v>
      </c>
      <c r="E48" s="2043"/>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687">
        <f>MIN(SUMIF($F$4:$AJ$4,"&gt;0",F48:AJ48),【様式2】職員名簿!$F$5)</f>
        <v>0</v>
      </c>
    </row>
    <row r="49" spans="1:37" ht="15" customHeight="1">
      <c r="A49" s="122"/>
      <c r="B49" s="164">
        <f t="shared" si="1"/>
        <v>43</v>
      </c>
      <c r="C49" s="692" t="str">
        <f>IFERROR(INDEX(【様式2】職員名簿!$B$40:$B$139,MATCH($B49,【様式2】職員名簿!$M$40:$M$139,0),1),"")</f>
        <v/>
      </c>
      <c r="D49" s="2042" t="s">
        <v>384</v>
      </c>
      <c r="E49" s="2043"/>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687">
        <f>MIN(SUMIF($F$4:$AJ$4,"&gt;0",F49:AJ49),【様式2】職員名簿!$F$5)</f>
        <v>0</v>
      </c>
    </row>
    <row r="50" spans="1:37" ht="15" customHeight="1">
      <c r="A50" s="122"/>
      <c r="B50" s="164">
        <f t="shared" si="1"/>
        <v>44</v>
      </c>
      <c r="C50" s="692" t="str">
        <f>IFERROR(INDEX(【様式2】職員名簿!$B$40:$B$139,MATCH($B50,【様式2】職員名簿!$M$40:$M$139,0),1),"")</f>
        <v/>
      </c>
      <c r="D50" s="2042" t="s">
        <v>384</v>
      </c>
      <c r="E50" s="2043"/>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687">
        <f>MIN(SUMIF($F$4:$AJ$4,"&gt;0",F50:AJ50),【様式2】職員名簿!$F$5)</f>
        <v>0</v>
      </c>
    </row>
    <row r="51" spans="1:37" ht="15" customHeight="1">
      <c r="A51" s="122"/>
      <c r="B51" s="164">
        <f t="shared" si="1"/>
        <v>45</v>
      </c>
      <c r="C51" s="692" t="str">
        <f>IFERROR(INDEX(【様式2】職員名簿!$B$40:$B$139,MATCH($B51,【様式2】職員名簿!$M$40:$M$139,0),1),"")</f>
        <v/>
      </c>
      <c r="D51" s="2042" t="s">
        <v>384</v>
      </c>
      <c r="E51" s="2043"/>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687">
        <f>MIN(SUMIF($F$4:$AJ$4,"&gt;0",F51:AJ51),【様式2】職員名簿!$F$5)</f>
        <v>0</v>
      </c>
    </row>
    <row r="52" spans="1:37" ht="15" customHeight="1">
      <c r="A52" s="122"/>
      <c r="B52" s="164">
        <f t="shared" si="1"/>
        <v>46</v>
      </c>
      <c r="C52" s="692" t="str">
        <f>IFERROR(INDEX(【様式2】職員名簿!$B$40:$B$139,MATCH($B52,【様式2】職員名簿!$M$40:$M$139,0),1),"")</f>
        <v/>
      </c>
      <c r="D52" s="2042" t="s">
        <v>384</v>
      </c>
      <c r="E52" s="2043"/>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5"/>
      <c r="AJ52" s="165"/>
      <c r="AK52" s="687">
        <f>MIN(SUMIF($F$4:$AJ$4,"&gt;0",F52:AJ52),【様式2】職員名簿!$F$5)</f>
        <v>0</v>
      </c>
    </row>
    <row r="53" spans="1:37" ht="15" customHeight="1">
      <c r="A53" s="122"/>
      <c r="B53" s="164">
        <f t="shared" si="1"/>
        <v>47</v>
      </c>
      <c r="C53" s="692" t="str">
        <f>IFERROR(INDEX(【様式2】職員名簿!$B$40:$B$139,MATCH($B53,【様式2】職員名簿!$M$40:$M$139,0),1),"")</f>
        <v/>
      </c>
      <c r="D53" s="2042" t="s">
        <v>384</v>
      </c>
      <c r="E53" s="2043"/>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687">
        <f>MIN(SUMIF($F$4:$AJ$4,"&gt;0",F53:AJ53),【様式2】職員名簿!$F$5)</f>
        <v>0</v>
      </c>
    </row>
    <row r="54" spans="1:37" ht="15" customHeight="1">
      <c r="A54" s="122"/>
      <c r="B54" s="164">
        <f t="shared" si="1"/>
        <v>48</v>
      </c>
      <c r="C54" s="692" t="str">
        <f>IFERROR(INDEX(【様式2】職員名簿!$B$40:$B$139,MATCH($B54,【様式2】職員名簿!$M$40:$M$139,0),1),"")</f>
        <v/>
      </c>
      <c r="D54" s="2042" t="s">
        <v>384</v>
      </c>
      <c r="E54" s="2043"/>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c r="AK54" s="687">
        <f>MIN(SUMIF($F$4:$AJ$4,"&gt;0",F54:AJ54),【様式2】職員名簿!$F$5)</f>
        <v>0</v>
      </c>
    </row>
    <row r="55" spans="1:37" ht="15" customHeight="1">
      <c r="A55" s="122"/>
      <c r="B55" s="164">
        <f t="shared" si="1"/>
        <v>49</v>
      </c>
      <c r="C55" s="692" t="str">
        <f>IFERROR(INDEX(【様式2】職員名簿!$B$40:$B$139,MATCH($B55,【様式2】職員名簿!$M$40:$M$139,0),1),"")</f>
        <v/>
      </c>
      <c r="D55" s="2042" t="s">
        <v>384</v>
      </c>
      <c r="E55" s="2043"/>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5"/>
      <c r="AJ55" s="165"/>
      <c r="AK55" s="687">
        <f>MIN(SUMIF($F$4:$AJ$4,"&gt;0",F55:AJ55),【様式2】職員名簿!$F$5)</f>
        <v>0</v>
      </c>
    </row>
    <row r="56" spans="1:37" ht="15" customHeight="1">
      <c r="A56" s="122"/>
      <c r="B56" s="164">
        <f t="shared" si="1"/>
        <v>50</v>
      </c>
      <c r="C56" s="692" t="str">
        <f>IFERROR(INDEX(【様式2】職員名簿!$B$40:$B$139,MATCH($B56,【様式2】職員名簿!$M$40:$M$139,0),1),"")</f>
        <v/>
      </c>
      <c r="D56" s="2042" t="s">
        <v>384</v>
      </c>
      <c r="E56" s="2043"/>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c r="AK56" s="687">
        <f>MIN(SUMIF($F$4:$AJ$4,"&gt;0",F56:AJ56),【様式2】職員名簿!$F$5)</f>
        <v>0</v>
      </c>
    </row>
    <row r="57" spans="1:37" ht="15" customHeight="1">
      <c r="A57" s="122"/>
      <c r="B57" s="164">
        <f t="shared" si="1"/>
        <v>51</v>
      </c>
      <c r="C57" s="692" t="str">
        <f>IFERROR(INDEX(【様式2】職員名簿!$B$40:$B$139,MATCH($B57,【様式2】職員名簿!$M$40:$M$139,0),1),"")</f>
        <v/>
      </c>
      <c r="D57" s="2042" t="s">
        <v>384</v>
      </c>
      <c r="E57" s="2043"/>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687">
        <f>MIN(SUMIF($F$4:$AJ$4,"&gt;0",F57:AJ57),【様式2】職員名簿!$F$5)</f>
        <v>0</v>
      </c>
    </row>
    <row r="58" spans="1:37" ht="15" customHeight="1">
      <c r="A58" s="122"/>
      <c r="B58" s="164">
        <f t="shared" si="1"/>
        <v>52</v>
      </c>
      <c r="C58" s="692" t="str">
        <f>IFERROR(INDEX(【様式2】職員名簿!$B$40:$B$139,MATCH($B58,【様式2】職員名簿!$M$40:$M$139,0),1),"")</f>
        <v/>
      </c>
      <c r="D58" s="2042" t="s">
        <v>384</v>
      </c>
      <c r="E58" s="2043"/>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687">
        <f>MIN(SUMIF($F$4:$AJ$4,"&gt;0",F58:AJ58),【様式2】職員名簿!$F$5)</f>
        <v>0</v>
      </c>
    </row>
    <row r="59" spans="1:37" ht="15" customHeight="1">
      <c r="A59" s="122"/>
      <c r="B59" s="164">
        <f t="shared" si="1"/>
        <v>53</v>
      </c>
      <c r="C59" s="692" t="str">
        <f>IFERROR(INDEX(【様式2】職員名簿!$B$40:$B$139,MATCH($B59,【様式2】職員名簿!$M$40:$M$139,0),1),"")</f>
        <v/>
      </c>
      <c r="D59" s="2042" t="s">
        <v>384</v>
      </c>
      <c r="E59" s="2043"/>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687">
        <f>MIN(SUMIF($F$4:$AJ$4,"&gt;0",F59:AJ59),【様式2】職員名簿!$F$5)</f>
        <v>0</v>
      </c>
    </row>
    <row r="60" spans="1:37" ht="15" customHeight="1">
      <c r="A60" s="122"/>
      <c r="B60" s="164">
        <f t="shared" si="1"/>
        <v>54</v>
      </c>
      <c r="C60" s="692" t="str">
        <f>IFERROR(INDEX(【様式2】職員名簿!$B$40:$B$139,MATCH($B60,【様式2】職員名簿!$M$40:$M$139,0),1),"")</f>
        <v/>
      </c>
      <c r="D60" s="2042" t="s">
        <v>384</v>
      </c>
      <c r="E60" s="2043"/>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687">
        <f>MIN(SUMIF($F$4:$AJ$4,"&gt;0",F60:AJ60),【様式2】職員名簿!$F$5)</f>
        <v>0</v>
      </c>
    </row>
    <row r="61" spans="1:37" ht="15" customHeight="1">
      <c r="A61" s="122"/>
      <c r="B61" s="164">
        <f t="shared" si="1"/>
        <v>55</v>
      </c>
      <c r="C61" s="692" t="str">
        <f>IFERROR(INDEX(【様式2】職員名簿!$B$40:$B$139,MATCH($B61,【様式2】職員名簿!$M$40:$M$139,0),1),"")</f>
        <v/>
      </c>
      <c r="D61" s="2042" t="s">
        <v>384</v>
      </c>
      <c r="E61" s="2043"/>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687">
        <f>MIN(SUMIF($F$4:$AJ$4,"&gt;0",F61:AJ61),【様式2】職員名簿!$F$5)</f>
        <v>0</v>
      </c>
    </row>
    <row r="62" spans="1:37" ht="15" customHeight="1">
      <c r="A62" s="122"/>
      <c r="B62" s="164">
        <f t="shared" si="1"/>
        <v>56</v>
      </c>
      <c r="C62" s="692" t="str">
        <f>IFERROR(INDEX(【様式2】職員名簿!$B$40:$B$139,MATCH($B62,【様式2】職員名簿!$M$40:$M$139,0),1),"")</f>
        <v/>
      </c>
      <c r="D62" s="2042" t="s">
        <v>384</v>
      </c>
      <c r="E62" s="2043"/>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c r="AK62" s="687">
        <f>MIN(SUMIF($F$4:$AJ$4,"&gt;0",F62:AJ62),【様式2】職員名簿!$F$5)</f>
        <v>0</v>
      </c>
    </row>
    <row r="63" spans="1:37" ht="15" customHeight="1">
      <c r="A63" s="122"/>
      <c r="B63" s="164">
        <f t="shared" si="1"/>
        <v>57</v>
      </c>
      <c r="C63" s="692" t="str">
        <f>IFERROR(INDEX(【様式2】職員名簿!$B$40:$B$139,MATCH($B63,【様式2】職員名簿!$M$40:$M$139,0),1),"")</f>
        <v/>
      </c>
      <c r="D63" s="2042" t="s">
        <v>384</v>
      </c>
      <c r="E63" s="2043"/>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687">
        <f>MIN(SUMIF($F$4:$AJ$4,"&gt;0",F63:AJ63),【様式2】職員名簿!$F$5)</f>
        <v>0</v>
      </c>
    </row>
    <row r="64" spans="1:37" ht="15" customHeight="1">
      <c r="A64" s="122"/>
      <c r="B64" s="164">
        <f t="shared" si="1"/>
        <v>58</v>
      </c>
      <c r="C64" s="692" t="str">
        <f>IFERROR(INDEX(【様式2】職員名簿!$B$40:$B$139,MATCH($B64,【様式2】職員名簿!$M$40:$M$139,0),1),"")</f>
        <v/>
      </c>
      <c r="D64" s="2042" t="s">
        <v>384</v>
      </c>
      <c r="E64" s="2043"/>
      <c r="F64" s="165"/>
      <c r="G64" s="165"/>
      <c r="H64" s="165"/>
      <c r="I64" s="165"/>
      <c r="J64" s="165"/>
      <c r="K64" s="165"/>
      <c r="L64" s="165"/>
      <c r="M64" s="165"/>
      <c r="N64" s="165"/>
      <c r="O64" s="165"/>
      <c r="P64" s="165"/>
      <c r="Q64" s="165"/>
      <c r="R64" s="165"/>
      <c r="S64" s="165"/>
      <c r="T64" s="165"/>
      <c r="U64" s="165"/>
      <c r="V64" s="165"/>
      <c r="W64" s="165"/>
      <c r="X64" s="165"/>
      <c r="Y64" s="165"/>
      <c r="Z64" s="165"/>
      <c r="AA64" s="165"/>
      <c r="AB64" s="165"/>
      <c r="AC64" s="165"/>
      <c r="AD64" s="165"/>
      <c r="AE64" s="165"/>
      <c r="AF64" s="165"/>
      <c r="AG64" s="165"/>
      <c r="AH64" s="165"/>
      <c r="AI64" s="165"/>
      <c r="AJ64" s="165"/>
      <c r="AK64" s="687">
        <f>MIN(SUMIF($F$4:$AJ$4,"&gt;0",F64:AJ64),【様式2】職員名簿!$F$5)</f>
        <v>0</v>
      </c>
    </row>
    <row r="65" spans="1:37" ht="15" customHeight="1">
      <c r="A65" s="122"/>
      <c r="B65" s="164">
        <f t="shared" si="1"/>
        <v>59</v>
      </c>
      <c r="C65" s="692" t="str">
        <f>IFERROR(INDEX(【様式2】職員名簿!$B$40:$B$139,MATCH($B65,【様式2】職員名簿!$M$40:$M$139,0),1),"")</f>
        <v/>
      </c>
      <c r="D65" s="2042" t="s">
        <v>384</v>
      </c>
      <c r="E65" s="2043"/>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687">
        <f>MIN(SUMIF($F$4:$AJ$4,"&gt;0",F65:AJ65),【様式2】職員名簿!$F$5)</f>
        <v>0</v>
      </c>
    </row>
    <row r="66" spans="1:37" ht="15" customHeight="1">
      <c r="A66" s="122"/>
      <c r="B66" s="164">
        <f t="shared" si="1"/>
        <v>60</v>
      </c>
      <c r="C66" s="692" t="str">
        <f>IFERROR(INDEX(【様式2】職員名簿!$B$40:$B$139,MATCH($B66,【様式2】職員名簿!$M$40:$M$139,0),1),"")</f>
        <v/>
      </c>
      <c r="D66" s="2042" t="s">
        <v>384</v>
      </c>
      <c r="E66" s="2043"/>
      <c r="F66" s="165"/>
      <c r="G66" s="165"/>
      <c r="H66" s="165"/>
      <c r="I66" s="165"/>
      <c r="J66" s="165"/>
      <c r="K66" s="165"/>
      <c r="L66" s="165"/>
      <c r="M66" s="165"/>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c r="AK66" s="687">
        <f>MIN(SUMIF($F$4:$AJ$4,"&gt;0",F66:AJ66),【様式2】職員名簿!$F$5)</f>
        <v>0</v>
      </c>
    </row>
    <row r="67" spans="1:37" ht="15" customHeight="1">
      <c r="A67" s="122"/>
      <c r="B67" s="164">
        <f t="shared" si="1"/>
        <v>61</v>
      </c>
      <c r="C67" s="692" t="str">
        <f>IFERROR(INDEX(【様式2】職員名簿!$B$40:$B$139,MATCH($B67,【様式2】職員名簿!$M$40:$M$139,0),1),"")</f>
        <v/>
      </c>
      <c r="D67" s="2042" t="s">
        <v>384</v>
      </c>
      <c r="E67" s="2043"/>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687">
        <f>MIN(SUMIF($F$4:$AJ$4,"&gt;0",F67:AJ67),【様式2】職員名簿!$F$5)</f>
        <v>0</v>
      </c>
    </row>
    <row r="68" spans="1:37" ht="15" customHeight="1">
      <c r="A68" s="122"/>
      <c r="B68" s="164">
        <f t="shared" si="1"/>
        <v>62</v>
      </c>
      <c r="C68" s="692" t="str">
        <f>IFERROR(INDEX(【様式2】職員名簿!$B$40:$B$139,MATCH($B68,【様式2】職員名簿!$M$40:$M$139,0),1),"")</f>
        <v/>
      </c>
      <c r="D68" s="2042" t="s">
        <v>384</v>
      </c>
      <c r="E68" s="2043"/>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c r="AG68" s="165"/>
      <c r="AH68" s="165"/>
      <c r="AI68" s="165"/>
      <c r="AJ68" s="165"/>
      <c r="AK68" s="687">
        <f>MIN(SUMIF($F$4:$AJ$4,"&gt;0",F68:AJ68),【様式2】職員名簿!$F$5)</f>
        <v>0</v>
      </c>
    </row>
    <row r="69" spans="1:37" ht="15" customHeight="1">
      <c r="A69" s="122"/>
      <c r="B69" s="164">
        <f t="shared" si="1"/>
        <v>63</v>
      </c>
      <c r="C69" s="692" t="str">
        <f>IFERROR(INDEX(【様式2】職員名簿!$B$40:$B$139,MATCH($B69,【様式2】職員名簿!$M$40:$M$139,0),1),"")</f>
        <v/>
      </c>
      <c r="D69" s="2042" t="s">
        <v>384</v>
      </c>
      <c r="E69" s="2043"/>
      <c r="F69" s="165"/>
      <c r="G69" s="165"/>
      <c r="H69" s="165"/>
      <c r="I69" s="165"/>
      <c r="J69" s="165"/>
      <c r="K69" s="165"/>
      <c r="L69" s="165"/>
      <c r="M69" s="165"/>
      <c r="N69" s="165"/>
      <c r="O69" s="165"/>
      <c r="P69" s="165"/>
      <c r="Q69" s="165"/>
      <c r="R69" s="165"/>
      <c r="S69" s="165"/>
      <c r="T69" s="165"/>
      <c r="U69" s="165"/>
      <c r="V69" s="165"/>
      <c r="W69" s="165"/>
      <c r="X69" s="165"/>
      <c r="Y69" s="165"/>
      <c r="Z69" s="165"/>
      <c r="AA69" s="165"/>
      <c r="AB69" s="165"/>
      <c r="AC69" s="165"/>
      <c r="AD69" s="165"/>
      <c r="AE69" s="165"/>
      <c r="AF69" s="165"/>
      <c r="AG69" s="165"/>
      <c r="AH69" s="165"/>
      <c r="AI69" s="165"/>
      <c r="AJ69" s="165"/>
      <c r="AK69" s="687">
        <f>MIN(SUMIF($F$4:$AJ$4,"&gt;0",F69:AJ69),【様式2】職員名簿!$F$5)</f>
        <v>0</v>
      </c>
    </row>
    <row r="70" spans="1:37" ht="15" customHeight="1">
      <c r="A70" s="122"/>
      <c r="B70" s="164">
        <f t="shared" si="1"/>
        <v>64</v>
      </c>
      <c r="C70" s="692" t="str">
        <f>IFERROR(INDEX(【様式2】職員名簿!$B$40:$B$139,MATCH($B70,【様式2】職員名簿!$M$40:$M$139,0),1),"")</f>
        <v/>
      </c>
      <c r="D70" s="2042" t="s">
        <v>384</v>
      </c>
      <c r="E70" s="2043"/>
      <c r="F70" s="165"/>
      <c r="G70" s="165"/>
      <c r="H70" s="165"/>
      <c r="I70" s="165"/>
      <c r="J70" s="165"/>
      <c r="K70" s="165"/>
      <c r="L70" s="165"/>
      <c r="M70" s="165"/>
      <c r="N70" s="165"/>
      <c r="O70" s="165"/>
      <c r="P70" s="165"/>
      <c r="Q70" s="165"/>
      <c r="R70" s="165"/>
      <c r="S70" s="165"/>
      <c r="T70" s="165"/>
      <c r="U70" s="165"/>
      <c r="V70" s="165"/>
      <c r="W70" s="165"/>
      <c r="X70" s="165"/>
      <c r="Y70" s="165"/>
      <c r="Z70" s="165"/>
      <c r="AA70" s="165"/>
      <c r="AB70" s="165"/>
      <c r="AC70" s="165"/>
      <c r="AD70" s="165"/>
      <c r="AE70" s="165"/>
      <c r="AF70" s="165"/>
      <c r="AG70" s="165"/>
      <c r="AH70" s="165"/>
      <c r="AI70" s="165"/>
      <c r="AJ70" s="165"/>
      <c r="AK70" s="687">
        <f>MIN(SUMIF($F$4:$AJ$4,"&gt;0",F70:AJ70),【様式2】職員名簿!$F$5)</f>
        <v>0</v>
      </c>
    </row>
    <row r="71" spans="1:37" ht="15" customHeight="1">
      <c r="A71" s="122"/>
      <c r="B71" s="164">
        <f t="shared" si="1"/>
        <v>65</v>
      </c>
      <c r="C71" s="692" t="str">
        <f>IFERROR(INDEX(【様式2】職員名簿!$B$40:$B$139,MATCH($B71,【様式2】職員名簿!$M$40:$M$139,0),1),"")</f>
        <v/>
      </c>
      <c r="D71" s="2042" t="s">
        <v>384</v>
      </c>
      <c r="E71" s="2043"/>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5"/>
      <c r="AI71" s="165"/>
      <c r="AJ71" s="165"/>
      <c r="AK71" s="687">
        <f>MIN(SUMIF($F$4:$AJ$4,"&gt;0",F71:AJ71),【様式2】職員名簿!$F$5)</f>
        <v>0</v>
      </c>
    </row>
    <row r="72" spans="1:37" ht="15" customHeight="1">
      <c r="A72" s="122"/>
      <c r="B72" s="164">
        <f t="shared" si="1"/>
        <v>66</v>
      </c>
      <c r="C72" s="692" t="str">
        <f>IFERROR(INDEX(【様式2】職員名簿!$B$40:$B$139,MATCH($B72,【様式2】職員名簿!$M$40:$M$139,0),1),"")</f>
        <v/>
      </c>
      <c r="D72" s="2042" t="s">
        <v>384</v>
      </c>
      <c r="E72" s="2043"/>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5"/>
      <c r="AJ72" s="165"/>
      <c r="AK72" s="687">
        <f>MIN(SUMIF($F$4:$AJ$4,"&gt;0",F72:AJ72),【様式2】職員名簿!$F$5)</f>
        <v>0</v>
      </c>
    </row>
    <row r="73" spans="1:37" ht="15" customHeight="1">
      <c r="A73" s="122"/>
      <c r="B73" s="164">
        <f t="shared" si="1"/>
        <v>67</v>
      </c>
      <c r="C73" s="692" t="str">
        <f>IFERROR(INDEX(【様式2】職員名簿!$B$40:$B$139,MATCH($B73,【様式2】職員名簿!$M$40:$M$139,0),1),"")</f>
        <v/>
      </c>
      <c r="D73" s="2042" t="s">
        <v>384</v>
      </c>
      <c r="E73" s="2043"/>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5"/>
      <c r="AG73" s="165"/>
      <c r="AH73" s="165"/>
      <c r="AI73" s="165"/>
      <c r="AJ73" s="165"/>
      <c r="AK73" s="687">
        <f>MIN(SUMIF($F$4:$AJ$4,"&gt;0",F73:AJ73),【様式2】職員名簿!$F$5)</f>
        <v>0</v>
      </c>
    </row>
    <row r="74" spans="1:37" ht="15" customHeight="1">
      <c r="A74" s="122"/>
      <c r="B74" s="164">
        <f t="shared" si="1"/>
        <v>68</v>
      </c>
      <c r="C74" s="692" t="str">
        <f>IFERROR(INDEX(【様式2】職員名簿!$B$40:$B$139,MATCH($B74,【様式2】職員名簿!$M$40:$M$139,0),1),"")</f>
        <v/>
      </c>
      <c r="D74" s="2042" t="s">
        <v>384</v>
      </c>
      <c r="E74" s="2043"/>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687">
        <f>MIN(SUMIF($F$4:$AJ$4,"&gt;0",F74:AJ74),【様式2】職員名簿!$F$5)</f>
        <v>0</v>
      </c>
    </row>
    <row r="75" spans="1:37" ht="15" customHeight="1">
      <c r="A75" s="122"/>
      <c r="B75" s="164">
        <f t="shared" si="1"/>
        <v>69</v>
      </c>
      <c r="C75" s="692" t="str">
        <f>IFERROR(INDEX(【様式2】職員名簿!$B$40:$B$139,MATCH($B75,【様式2】職員名簿!$M$40:$M$139,0),1),"")</f>
        <v/>
      </c>
      <c r="D75" s="2042" t="s">
        <v>384</v>
      </c>
      <c r="E75" s="2043"/>
      <c r="F75" s="165"/>
      <c r="G75" s="165"/>
      <c r="H75" s="165"/>
      <c r="I75" s="165"/>
      <c r="J75" s="165"/>
      <c r="K75" s="165"/>
      <c r="L75" s="165"/>
      <c r="M75" s="165"/>
      <c r="N75" s="165"/>
      <c r="O75" s="165"/>
      <c r="P75" s="165"/>
      <c r="Q75" s="165"/>
      <c r="R75" s="165"/>
      <c r="S75" s="165"/>
      <c r="T75" s="165"/>
      <c r="U75" s="165"/>
      <c r="V75" s="165"/>
      <c r="W75" s="165"/>
      <c r="X75" s="165"/>
      <c r="Y75" s="165"/>
      <c r="Z75" s="165"/>
      <c r="AA75" s="165"/>
      <c r="AB75" s="165"/>
      <c r="AC75" s="165"/>
      <c r="AD75" s="165"/>
      <c r="AE75" s="165"/>
      <c r="AF75" s="165"/>
      <c r="AG75" s="165"/>
      <c r="AH75" s="165"/>
      <c r="AI75" s="165"/>
      <c r="AJ75" s="165"/>
      <c r="AK75" s="687">
        <f>MIN(SUMIF($F$4:$AJ$4,"&gt;0",F75:AJ75),【様式2】職員名簿!$F$5)</f>
        <v>0</v>
      </c>
    </row>
    <row r="76" spans="1:37" ht="15" customHeight="1">
      <c r="A76" s="122"/>
      <c r="B76" s="164">
        <f t="shared" si="1"/>
        <v>70</v>
      </c>
      <c r="C76" s="692" t="str">
        <f>IFERROR(INDEX(【様式2】職員名簿!$B$40:$B$139,MATCH($B76,【様式2】職員名簿!$M$40:$M$139,0),1),"")</f>
        <v/>
      </c>
      <c r="D76" s="2042" t="s">
        <v>384</v>
      </c>
      <c r="E76" s="2043"/>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687">
        <f>MIN(SUMIF($F$4:$AJ$4,"&gt;0",F76:AJ76),【様式2】職員名簿!$F$5)</f>
        <v>0</v>
      </c>
    </row>
    <row r="77" spans="1:37" ht="15" customHeight="1">
      <c r="A77" s="122"/>
      <c r="B77" s="164">
        <f t="shared" si="1"/>
        <v>71</v>
      </c>
      <c r="C77" s="692" t="str">
        <f>IFERROR(INDEX(【様式2】職員名簿!$B$40:$B$139,MATCH($B77,【様式2】職員名簿!$M$40:$M$139,0),1),"")</f>
        <v/>
      </c>
      <c r="D77" s="2042" t="s">
        <v>384</v>
      </c>
      <c r="E77" s="2043"/>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687">
        <f>MIN(SUMIF($F$4:$AJ$4,"&gt;0",F77:AJ77),【様式2】職員名簿!$F$5)</f>
        <v>0</v>
      </c>
    </row>
    <row r="78" spans="1:37" ht="15" customHeight="1">
      <c r="A78" s="122"/>
      <c r="B78" s="164">
        <f t="shared" si="1"/>
        <v>72</v>
      </c>
      <c r="C78" s="692" t="str">
        <f>IFERROR(INDEX(【様式2】職員名簿!$B$40:$B$139,MATCH($B78,【様式2】職員名簿!$M$40:$M$139,0),1),"")</f>
        <v/>
      </c>
      <c r="D78" s="2042" t="s">
        <v>384</v>
      </c>
      <c r="E78" s="2043"/>
      <c r="F78" s="165"/>
      <c r="G78" s="165"/>
      <c r="H78" s="165"/>
      <c r="I78" s="165"/>
      <c r="J78" s="165"/>
      <c r="K78" s="165"/>
      <c r="L78" s="165"/>
      <c r="M78" s="165"/>
      <c r="N78" s="165"/>
      <c r="O78" s="165"/>
      <c r="P78" s="165"/>
      <c r="Q78" s="165"/>
      <c r="R78" s="165"/>
      <c r="S78" s="165"/>
      <c r="T78" s="165"/>
      <c r="U78" s="165"/>
      <c r="V78" s="165"/>
      <c r="W78" s="165"/>
      <c r="X78" s="165"/>
      <c r="Y78" s="165"/>
      <c r="Z78" s="165"/>
      <c r="AA78" s="165"/>
      <c r="AB78" s="165"/>
      <c r="AC78" s="165"/>
      <c r="AD78" s="165"/>
      <c r="AE78" s="165"/>
      <c r="AF78" s="165"/>
      <c r="AG78" s="165"/>
      <c r="AH78" s="165"/>
      <c r="AI78" s="165"/>
      <c r="AJ78" s="165"/>
      <c r="AK78" s="687">
        <f>MIN(SUMIF($F$4:$AJ$4,"&gt;0",F78:AJ78),【様式2】職員名簿!$F$5)</f>
        <v>0</v>
      </c>
    </row>
    <row r="79" spans="1:37" ht="15" customHeight="1">
      <c r="A79" s="122"/>
      <c r="B79" s="164">
        <f t="shared" si="1"/>
        <v>73</v>
      </c>
      <c r="C79" s="692" t="str">
        <f>IFERROR(INDEX(【様式2】職員名簿!$B$40:$B$139,MATCH($B79,【様式2】職員名簿!$M$40:$M$139,0),1),"")</f>
        <v/>
      </c>
      <c r="D79" s="2042" t="s">
        <v>384</v>
      </c>
      <c r="E79" s="2043"/>
      <c r="F79" s="165"/>
      <c r="G79" s="165"/>
      <c r="H79" s="165"/>
      <c r="I79" s="165"/>
      <c r="J79" s="165"/>
      <c r="K79" s="165"/>
      <c r="L79" s="165"/>
      <c r="M79" s="165"/>
      <c r="N79" s="165"/>
      <c r="O79" s="165"/>
      <c r="P79" s="165"/>
      <c r="Q79" s="165"/>
      <c r="R79" s="165"/>
      <c r="S79" s="165"/>
      <c r="T79" s="165"/>
      <c r="U79" s="165"/>
      <c r="V79" s="165"/>
      <c r="W79" s="165"/>
      <c r="X79" s="165"/>
      <c r="Y79" s="165"/>
      <c r="Z79" s="165"/>
      <c r="AA79" s="165"/>
      <c r="AB79" s="165"/>
      <c r="AC79" s="165"/>
      <c r="AD79" s="165"/>
      <c r="AE79" s="165"/>
      <c r="AF79" s="165"/>
      <c r="AG79" s="165"/>
      <c r="AH79" s="165"/>
      <c r="AI79" s="165"/>
      <c r="AJ79" s="165"/>
      <c r="AK79" s="687">
        <f>MIN(SUMIF($F$4:$AJ$4,"&gt;0",F79:AJ79),【様式2】職員名簿!$F$5)</f>
        <v>0</v>
      </c>
    </row>
    <row r="80" spans="1:37" ht="15" customHeight="1">
      <c r="A80" s="122"/>
      <c r="B80" s="164">
        <f t="shared" si="1"/>
        <v>74</v>
      </c>
      <c r="C80" s="692" t="str">
        <f>IFERROR(INDEX(【様式2】職員名簿!$B$40:$B$139,MATCH($B80,【様式2】職員名簿!$M$40:$M$139,0),1),"")</f>
        <v/>
      </c>
      <c r="D80" s="2042" t="s">
        <v>384</v>
      </c>
      <c r="E80" s="2043"/>
      <c r="F80" s="165"/>
      <c r="G80" s="165"/>
      <c r="H80" s="165"/>
      <c r="I80" s="165"/>
      <c r="J80" s="165"/>
      <c r="K80" s="165"/>
      <c r="L80" s="165"/>
      <c r="M80" s="165"/>
      <c r="N80" s="165"/>
      <c r="O80" s="165"/>
      <c r="P80" s="165"/>
      <c r="Q80" s="165"/>
      <c r="R80" s="165"/>
      <c r="S80" s="165"/>
      <c r="T80" s="165"/>
      <c r="U80" s="165"/>
      <c r="V80" s="165"/>
      <c r="W80" s="165"/>
      <c r="X80" s="165"/>
      <c r="Y80" s="165"/>
      <c r="Z80" s="165"/>
      <c r="AA80" s="165"/>
      <c r="AB80" s="165"/>
      <c r="AC80" s="165"/>
      <c r="AD80" s="165"/>
      <c r="AE80" s="165"/>
      <c r="AF80" s="165"/>
      <c r="AG80" s="165"/>
      <c r="AH80" s="165"/>
      <c r="AI80" s="165"/>
      <c r="AJ80" s="165"/>
      <c r="AK80" s="687">
        <f>MIN(SUMIF($F$4:$AJ$4,"&gt;0",F80:AJ80),【様式2】職員名簿!$F$5)</f>
        <v>0</v>
      </c>
    </row>
    <row r="81" spans="1:37" ht="15" customHeight="1">
      <c r="A81" s="122"/>
      <c r="B81" s="164">
        <f t="shared" si="1"/>
        <v>75</v>
      </c>
      <c r="C81" s="692" t="str">
        <f>IFERROR(INDEX(【様式2】職員名簿!$B$40:$B$139,MATCH($B81,【様式2】職員名簿!$M$40:$M$139,0),1),"")</f>
        <v/>
      </c>
      <c r="D81" s="2042" t="s">
        <v>384</v>
      </c>
      <c r="E81" s="2043"/>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687">
        <f>MIN(SUMIF($F$4:$AJ$4,"&gt;0",F81:AJ81),【様式2】職員名簿!$F$5)</f>
        <v>0</v>
      </c>
    </row>
    <row r="82" spans="1:37" ht="15" customHeight="1">
      <c r="A82" s="122"/>
      <c r="B82" s="164">
        <f t="shared" si="1"/>
        <v>76</v>
      </c>
      <c r="C82" s="692" t="str">
        <f>IFERROR(INDEX(【様式2】職員名簿!$B$40:$B$139,MATCH($B82,【様式2】職員名簿!$M$40:$M$139,0),1),"")</f>
        <v/>
      </c>
      <c r="D82" s="2042" t="s">
        <v>384</v>
      </c>
      <c r="E82" s="2043"/>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5"/>
      <c r="AH82" s="165"/>
      <c r="AI82" s="165"/>
      <c r="AJ82" s="165"/>
      <c r="AK82" s="687">
        <f>MIN(SUMIF($F$4:$AJ$4,"&gt;0",F82:AJ82),【様式2】職員名簿!$F$5)</f>
        <v>0</v>
      </c>
    </row>
    <row r="83" spans="1:37" ht="15" customHeight="1">
      <c r="A83" s="122"/>
      <c r="B83" s="164">
        <f t="shared" si="1"/>
        <v>77</v>
      </c>
      <c r="C83" s="692" t="str">
        <f>IFERROR(INDEX(【様式2】職員名簿!$B$40:$B$139,MATCH($B83,【様式2】職員名簿!$M$40:$M$139,0),1),"")</f>
        <v/>
      </c>
      <c r="D83" s="2042" t="s">
        <v>384</v>
      </c>
      <c r="E83" s="2043"/>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687">
        <f>MIN(SUMIF($F$4:$AJ$4,"&gt;0",F83:AJ83),【様式2】職員名簿!$F$5)</f>
        <v>0</v>
      </c>
    </row>
    <row r="84" spans="1:37" ht="15" customHeight="1">
      <c r="A84" s="122"/>
      <c r="B84" s="164">
        <f t="shared" si="1"/>
        <v>78</v>
      </c>
      <c r="C84" s="692" t="str">
        <f>IFERROR(INDEX(【様式2】職員名簿!$B$40:$B$139,MATCH($B84,【様式2】職員名簿!$M$40:$M$139,0),1),"")</f>
        <v/>
      </c>
      <c r="D84" s="2042" t="s">
        <v>384</v>
      </c>
      <c r="E84" s="2043"/>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5"/>
      <c r="AI84" s="165"/>
      <c r="AJ84" s="165"/>
      <c r="AK84" s="687">
        <f>MIN(SUMIF($F$4:$AJ$4,"&gt;0",F84:AJ84),【様式2】職員名簿!$F$5)</f>
        <v>0</v>
      </c>
    </row>
    <row r="85" spans="1:37" ht="15" customHeight="1">
      <c r="A85" s="122"/>
      <c r="B85" s="164">
        <f t="shared" si="1"/>
        <v>79</v>
      </c>
      <c r="C85" s="692" t="str">
        <f>IFERROR(INDEX(【様式2】職員名簿!$B$40:$B$139,MATCH($B85,【様式2】職員名簿!$M$40:$M$139,0),1),"")</f>
        <v/>
      </c>
      <c r="D85" s="2042" t="s">
        <v>384</v>
      </c>
      <c r="E85" s="2043"/>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687">
        <f>MIN(SUMIF($F$4:$AJ$4,"&gt;0",F85:AJ85),【様式2】職員名簿!$F$5)</f>
        <v>0</v>
      </c>
    </row>
    <row r="86" spans="1:37" ht="15" customHeight="1">
      <c r="A86" s="122"/>
      <c r="B86" s="164">
        <f t="shared" si="1"/>
        <v>80</v>
      </c>
      <c r="C86" s="692" t="str">
        <f>IFERROR(INDEX(【様式2】職員名簿!$B$40:$B$139,MATCH($B86,【様式2】職員名簿!$M$40:$M$139,0),1),"")</f>
        <v/>
      </c>
      <c r="D86" s="2042" t="s">
        <v>384</v>
      </c>
      <c r="E86" s="2043"/>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687">
        <f>MIN(SUMIF($F$4:$AJ$4,"&gt;0",F86:AJ86),【様式2】職員名簿!$F$5)</f>
        <v>0</v>
      </c>
    </row>
    <row r="87" spans="1:37" ht="15" customHeight="1">
      <c r="A87" s="122"/>
      <c r="B87" s="164">
        <f t="shared" si="1"/>
        <v>81</v>
      </c>
      <c r="C87" s="692" t="str">
        <f>IFERROR(INDEX(【様式2】職員名簿!$B$40:$B$139,MATCH($B87,【様式2】職員名簿!$M$40:$M$139,0),1),"")</f>
        <v/>
      </c>
      <c r="D87" s="2042" t="s">
        <v>384</v>
      </c>
      <c r="E87" s="2043"/>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687">
        <f>MIN(SUMIF($F$4:$AJ$4,"&gt;0",F87:AJ87),【様式2】職員名簿!$F$5)</f>
        <v>0</v>
      </c>
    </row>
    <row r="88" spans="1:37" ht="15" customHeight="1">
      <c r="A88" s="122"/>
      <c r="B88" s="164">
        <f t="shared" si="1"/>
        <v>82</v>
      </c>
      <c r="C88" s="692" t="str">
        <f>IFERROR(INDEX(【様式2】職員名簿!$B$40:$B$139,MATCH($B88,【様式2】職員名簿!$M$40:$M$139,0),1),"")</f>
        <v/>
      </c>
      <c r="D88" s="2042" t="s">
        <v>384</v>
      </c>
      <c r="E88" s="2043"/>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c r="AK88" s="687">
        <f>MIN(SUMIF($F$4:$AJ$4,"&gt;0",F88:AJ88),【様式2】職員名簿!$F$5)</f>
        <v>0</v>
      </c>
    </row>
    <row r="89" spans="1:37" ht="15" customHeight="1">
      <c r="A89" s="122"/>
      <c r="B89" s="164">
        <f t="shared" si="1"/>
        <v>83</v>
      </c>
      <c r="C89" s="692" t="str">
        <f>IFERROR(INDEX(【様式2】職員名簿!$B$40:$B$139,MATCH($B89,【様式2】職員名簿!$M$40:$M$139,0),1),"")</f>
        <v/>
      </c>
      <c r="D89" s="2042" t="s">
        <v>384</v>
      </c>
      <c r="E89" s="2043"/>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687">
        <f>MIN(SUMIF($F$4:$AJ$4,"&gt;0",F89:AJ89),【様式2】職員名簿!$F$5)</f>
        <v>0</v>
      </c>
    </row>
    <row r="90" spans="1:37" ht="15" customHeight="1">
      <c r="A90" s="122"/>
      <c r="B90" s="164">
        <f t="shared" si="1"/>
        <v>84</v>
      </c>
      <c r="C90" s="692" t="str">
        <f>IFERROR(INDEX(【様式2】職員名簿!$B$40:$B$139,MATCH($B90,【様式2】職員名簿!$M$40:$M$139,0),1),"")</f>
        <v/>
      </c>
      <c r="D90" s="2042" t="s">
        <v>384</v>
      </c>
      <c r="E90" s="2043"/>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687">
        <f>MIN(SUMIF($F$4:$AJ$4,"&gt;0",F90:AJ90),【様式2】職員名簿!$F$5)</f>
        <v>0</v>
      </c>
    </row>
    <row r="91" spans="1:37" ht="15" customHeight="1">
      <c r="A91" s="122"/>
      <c r="B91" s="164">
        <f t="shared" si="1"/>
        <v>85</v>
      </c>
      <c r="C91" s="692" t="str">
        <f>IFERROR(INDEX(【様式2】職員名簿!$B$40:$B$139,MATCH($B91,【様式2】職員名簿!$M$40:$M$139,0),1),"")</f>
        <v/>
      </c>
      <c r="D91" s="2042" t="s">
        <v>384</v>
      </c>
      <c r="E91" s="2043"/>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687">
        <f>MIN(SUMIF($F$4:$AJ$4,"&gt;0",F91:AJ91),【様式2】職員名簿!$F$5)</f>
        <v>0</v>
      </c>
    </row>
    <row r="92" spans="1:37" ht="15" customHeight="1">
      <c r="A92" s="122"/>
      <c r="B92" s="164">
        <f t="shared" si="1"/>
        <v>86</v>
      </c>
      <c r="C92" s="692" t="str">
        <f>IFERROR(INDEX(【様式2】職員名簿!$B$40:$B$139,MATCH($B92,【様式2】職員名簿!$M$40:$M$139,0),1),"")</f>
        <v/>
      </c>
      <c r="D92" s="2042" t="s">
        <v>384</v>
      </c>
      <c r="E92" s="2043"/>
      <c r="F92" s="165"/>
      <c r="G92" s="165"/>
      <c r="H92" s="165"/>
      <c r="I92" s="165"/>
      <c r="J92" s="165"/>
      <c r="K92" s="165"/>
      <c r="L92" s="165"/>
      <c r="M92" s="165"/>
      <c r="N92" s="165"/>
      <c r="O92" s="165"/>
      <c r="P92" s="165"/>
      <c r="Q92" s="165"/>
      <c r="R92" s="165"/>
      <c r="S92" s="165"/>
      <c r="T92" s="165"/>
      <c r="U92" s="165"/>
      <c r="V92" s="165"/>
      <c r="W92" s="165"/>
      <c r="X92" s="165"/>
      <c r="Y92" s="165"/>
      <c r="Z92" s="165"/>
      <c r="AA92" s="165"/>
      <c r="AB92" s="165"/>
      <c r="AC92" s="165"/>
      <c r="AD92" s="165"/>
      <c r="AE92" s="165"/>
      <c r="AF92" s="165"/>
      <c r="AG92" s="165"/>
      <c r="AH92" s="165"/>
      <c r="AI92" s="165"/>
      <c r="AJ92" s="165"/>
      <c r="AK92" s="687">
        <f>MIN(SUMIF($F$4:$AJ$4,"&gt;0",F92:AJ92),【様式2】職員名簿!$F$5)</f>
        <v>0</v>
      </c>
    </row>
    <row r="93" spans="1:37" ht="15" customHeight="1">
      <c r="A93" s="122"/>
      <c r="B93" s="164">
        <f t="shared" si="1"/>
        <v>87</v>
      </c>
      <c r="C93" s="692" t="str">
        <f>IFERROR(INDEX(【様式2】職員名簿!$B$40:$B$139,MATCH($B93,【様式2】職員名簿!$M$40:$M$139,0),1),"")</f>
        <v/>
      </c>
      <c r="D93" s="2042" t="s">
        <v>384</v>
      </c>
      <c r="E93" s="2043"/>
      <c r="F93" s="165"/>
      <c r="G93" s="165"/>
      <c r="H93" s="165"/>
      <c r="I93" s="165"/>
      <c r="J93" s="165"/>
      <c r="K93" s="165"/>
      <c r="L93" s="165"/>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687">
        <f>MIN(SUMIF($F$4:$AJ$4,"&gt;0",F93:AJ93),【様式2】職員名簿!$F$5)</f>
        <v>0</v>
      </c>
    </row>
    <row r="94" spans="1:37" ht="15" customHeight="1">
      <c r="A94" s="122"/>
      <c r="B94" s="164">
        <f t="shared" si="1"/>
        <v>88</v>
      </c>
      <c r="C94" s="692" t="str">
        <f>IFERROR(INDEX(【様式2】職員名簿!$B$40:$B$139,MATCH($B94,【様式2】職員名簿!$M$40:$M$139,0),1),"")</f>
        <v/>
      </c>
      <c r="D94" s="2042" t="s">
        <v>384</v>
      </c>
      <c r="E94" s="2043"/>
      <c r="F94" s="165"/>
      <c r="G94" s="165"/>
      <c r="H94" s="165"/>
      <c r="I94" s="165"/>
      <c r="J94" s="165"/>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687">
        <f>MIN(SUMIF($F$4:$AJ$4,"&gt;0",F94:AJ94),【様式2】職員名簿!$F$5)</f>
        <v>0</v>
      </c>
    </row>
    <row r="95" spans="1:37" ht="15" customHeight="1">
      <c r="A95" s="122"/>
      <c r="B95" s="164">
        <f t="shared" si="1"/>
        <v>89</v>
      </c>
      <c r="C95" s="692" t="str">
        <f>IFERROR(INDEX(【様式2】職員名簿!$B$40:$B$139,MATCH($B95,【様式2】職員名簿!$M$40:$M$139,0),1),"")</f>
        <v/>
      </c>
      <c r="D95" s="2042" t="s">
        <v>384</v>
      </c>
      <c r="E95" s="2043"/>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687">
        <f>MIN(SUMIF($F$4:$AJ$4,"&gt;0",F95:AJ95),【様式2】職員名簿!$F$5)</f>
        <v>0</v>
      </c>
    </row>
    <row r="96" spans="1:37" ht="15" customHeight="1">
      <c r="A96" s="122"/>
      <c r="B96" s="164">
        <f t="shared" si="1"/>
        <v>90</v>
      </c>
      <c r="C96" s="692" t="str">
        <f>IFERROR(INDEX(【様式2】職員名簿!$B$40:$B$139,MATCH($B96,【様式2】職員名簿!$M$40:$M$139,0),1),"")</f>
        <v/>
      </c>
      <c r="D96" s="2042" t="s">
        <v>384</v>
      </c>
      <c r="E96" s="2043"/>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687">
        <f>MIN(SUMIF($F$4:$AJ$4,"&gt;0",F96:AJ96),【様式2】職員名簿!$F$5)</f>
        <v>0</v>
      </c>
    </row>
    <row r="97" spans="1:37" ht="15" customHeight="1">
      <c r="A97" s="122"/>
      <c r="B97" s="164">
        <f t="shared" si="1"/>
        <v>91</v>
      </c>
      <c r="C97" s="692" t="str">
        <f>IFERROR(INDEX(【様式2】職員名簿!$B$40:$B$139,MATCH($B97,【様式2】職員名簿!$M$40:$M$139,0),1),"")</f>
        <v/>
      </c>
      <c r="D97" s="2042" t="s">
        <v>384</v>
      </c>
      <c r="E97" s="2043"/>
      <c r="F97" s="165"/>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165"/>
      <c r="AK97" s="687">
        <f>MIN(SUMIF($F$4:$AJ$4,"&gt;0",F97:AJ97),【様式2】職員名簿!$F$5)</f>
        <v>0</v>
      </c>
    </row>
    <row r="98" spans="1:37" ht="15" customHeight="1">
      <c r="A98" s="122"/>
      <c r="B98" s="164">
        <f t="shared" si="1"/>
        <v>92</v>
      </c>
      <c r="C98" s="692" t="str">
        <f>IFERROR(INDEX(【様式2】職員名簿!$B$40:$B$139,MATCH($B98,【様式2】職員名簿!$M$40:$M$139,0),1),"")</f>
        <v/>
      </c>
      <c r="D98" s="2042" t="s">
        <v>384</v>
      </c>
      <c r="E98" s="2043"/>
      <c r="F98" s="165"/>
      <c r="G98" s="165"/>
      <c r="H98" s="165"/>
      <c r="I98" s="165"/>
      <c r="J98" s="165"/>
      <c r="K98" s="165"/>
      <c r="L98" s="165"/>
      <c r="M98" s="165"/>
      <c r="N98" s="165"/>
      <c r="O98" s="165"/>
      <c r="P98" s="165"/>
      <c r="Q98" s="165"/>
      <c r="R98" s="165"/>
      <c r="S98" s="165"/>
      <c r="T98" s="165"/>
      <c r="U98" s="165"/>
      <c r="V98" s="165"/>
      <c r="W98" s="165"/>
      <c r="X98" s="165"/>
      <c r="Y98" s="165"/>
      <c r="Z98" s="165"/>
      <c r="AA98" s="165"/>
      <c r="AB98" s="165"/>
      <c r="AC98" s="165"/>
      <c r="AD98" s="165"/>
      <c r="AE98" s="165"/>
      <c r="AF98" s="165"/>
      <c r="AG98" s="165"/>
      <c r="AH98" s="165"/>
      <c r="AI98" s="165"/>
      <c r="AJ98" s="165"/>
      <c r="AK98" s="687">
        <f>MIN(SUMIF($F$4:$AJ$4,"&gt;0",F98:AJ98),【様式2】職員名簿!$F$5)</f>
        <v>0</v>
      </c>
    </row>
    <row r="99" spans="1:37" ht="15" customHeight="1">
      <c r="A99" s="122"/>
      <c r="B99" s="164">
        <f t="shared" si="1"/>
        <v>93</v>
      </c>
      <c r="C99" s="692" t="str">
        <f>IFERROR(INDEX(【様式2】職員名簿!$B$40:$B$139,MATCH($B99,【様式2】職員名簿!$M$40:$M$139,0),1),"")</f>
        <v/>
      </c>
      <c r="D99" s="2042" t="s">
        <v>384</v>
      </c>
      <c r="E99" s="2043"/>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687">
        <f>MIN(SUMIF($F$4:$AJ$4,"&gt;0",F99:AJ99),【様式2】職員名簿!$F$5)</f>
        <v>0</v>
      </c>
    </row>
    <row r="100" spans="1:37" ht="15" customHeight="1">
      <c r="A100" s="122"/>
      <c r="B100" s="164">
        <f t="shared" si="1"/>
        <v>94</v>
      </c>
      <c r="C100" s="692" t="str">
        <f>IFERROR(INDEX(【様式2】職員名簿!$B$40:$B$139,MATCH($B100,【様式2】職員名簿!$M$40:$M$139,0),1),"")</f>
        <v/>
      </c>
      <c r="D100" s="2042" t="s">
        <v>384</v>
      </c>
      <c r="E100" s="2043"/>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687">
        <f>MIN(SUMIF($F$4:$AJ$4,"&gt;0",F100:AJ100),【様式2】職員名簿!$F$5)</f>
        <v>0</v>
      </c>
    </row>
    <row r="101" spans="1:37" ht="15" customHeight="1">
      <c r="A101" s="122"/>
      <c r="B101" s="164">
        <f t="shared" si="1"/>
        <v>95</v>
      </c>
      <c r="C101" s="692" t="str">
        <f>IFERROR(INDEX(【様式2】職員名簿!$B$40:$B$139,MATCH($B101,【様式2】職員名簿!$M$40:$M$139,0),1),"")</f>
        <v/>
      </c>
      <c r="D101" s="2042" t="s">
        <v>384</v>
      </c>
      <c r="E101" s="2043"/>
      <c r="F101" s="165"/>
      <c r="G101" s="165"/>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687">
        <f>MIN(SUMIF($F$4:$AJ$4,"&gt;0",F101:AJ101),【様式2】職員名簿!$F$5)</f>
        <v>0</v>
      </c>
    </row>
    <row r="102" spans="1:37" ht="15" customHeight="1">
      <c r="A102" s="122"/>
      <c r="B102" s="164">
        <f t="shared" si="1"/>
        <v>96</v>
      </c>
      <c r="C102" s="692" t="str">
        <f>IFERROR(INDEX(【様式2】職員名簿!$B$40:$B$139,MATCH($B102,【様式2】職員名簿!$M$40:$M$139,0),1),"")</f>
        <v/>
      </c>
      <c r="D102" s="2042" t="s">
        <v>384</v>
      </c>
      <c r="E102" s="2043"/>
      <c r="F102" s="165"/>
      <c r="G102" s="165"/>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687">
        <f>MIN(SUMIF($F$4:$AJ$4,"&gt;0",F102:AJ102),【様式2】職員名簿!$F$5)</f>
        <v>0</v>
      </c>
    </row>
    <row r="103" spans="1:37" ht="15" customHeight="1">
      <c r="A103" s="122"/>
      <c r="B103" s="164">
        <f t="shared" si="1"/>
        <v>97</v>
      </c>
      <c r="C103" s="692" t="str">
        <f>IFERROR(INDEX(【様式2】職員名簿!$B$40:$B$139,MATCH($B103,【様式2】職員名簿!$M$40:$M$139,0),1),"")</f>
        <v/>
      </c>
      <c r="D103" s="2042" t="s">
        <v>384</v>
      </c>
      <c r="E103" s="2043"/>
      <c r="F103" s="165"/>
      <c r="G103" s="165"/>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687">
        <f>MIN(SUMIF($F$4:$AJ$4,"&gt;0",F103:AJ103),【様式2】職員名簿!$F$5)</f>
        <v>0</v>
      </c>
    </row>
    <row r="104" spans="1:37" ht="15" customHeight="1">
      <c r="A104" s="122"/>
      <c r="B104" s="164">
        <f t="shared" si="1"/>
        <v>98</v>
      </c>
      <c r="C104" s="692" t="str">
        <f>IFERROR(INDEX(【様式2】職員名簿!$B$40:$B$139,MATCH($B104,【様式2】職員名簿!$M$40:$M$139,0),1),"")</f>
        <v/>
      </c>
      <c r="D104" s="2042" t="s">
        <v>384</v>
      </c>
      <c r="E104" s="2043"/>
      <c r="F104" s="165"/>
      <c r="G104" s="165"/>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687">
        <f>MIN(SUMIF($F$4:$AJ$4,"&gt;0",F104:AJ104),【様式2】職員名簿!$F$5)</f>
        <v>0</v>
      </c>
    </row>
    <row r="105" spans="1:37" ht="15" customHeight="1">
      <c r="A105" s="122"/>
      <c r="B105" s="164">
        <f t="shared" si="1"/>
        <v>99</v>
      </c>
      <c r="C105" s="692" t="str">
        <f>IFERROR(INDEX(【様式2】職員名簿!$B$40:$B$139,MATCH($B105,【様式2】職員名簿!$M$40:$M$139,0),1),"")</f>
        <v/>
      </c>
      <c r="D105" s="2042" t="s">
        <v>384</v>
      </c>
      <c r="E105" s="2043"/>
      <c r="F105" s="165"/>
      <c r="G105" s="165"/>
      <c r="H105" s="165"/>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687">
        <f>MIN(SUMIF($F$4:$AJ$4,"&gt;0",F105:AJ105),【様式2】職員名簿!$F$5)</f>
        <v>0</v>
      </c>
    </row>
    <row r="106" spans="1:37" ht="15" customHeight="1" thickBot="1">
      <c r="A106" s="122"/>
      <c r="B106" s="166">
        <f t="shared" si="1"/>
        <v>100</v>
      </c>
      <c r="C106" s="693" t="str">
        <f>IFERROR(INDEX(【様式2】職員名簿!$B$40:$B$139,MATCH($B106,【様式2】職員名簿!$M$40:$M$139,0),1),"")</f>
        <v/>
      </c>
      <c r="D106" s="2089" t="s">
        <v>384</v>
      </c>
      <c r="E106" s="2090"/>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688">
        <f>MIN(SUMIF($F$4:$AJ$4,"&gt;0",F106:AJ106),【様式2】職員名簿!$F$5)</f>
        <v>0</v>
      </c>
    </row>
    <row r="107" spans="1:37" ht="12.75" thickBot="1">
      <c r="B107" s="2087" t="s">
        <v>635</v>
      </c>
      <c r="C107" s="2088"/>
      <c r="D107" s="2088"/>
      <c r="E107" s="2088"/>
      <c r="F107" s="689">
        <f>SUM(F7:F106)</f>
        <v>0</v>
      </c>
      <c r="G107" s="689">
        <f t="shared" ref="G107:AK107" si="2">SUM(G7:G106)</f>
        <v>0</v>
      </c>
      <c r="H107" s="689">
        <f t="shared" si="2"/>
        <v>0</v>
      </c>
      <c r="I107" s="689">
        <f t="shared" si="2"/>
        <v>0</v>
      </c>
      <c r="J107" s="689">
        <f t="shared" si="2"/>
        <v>0</v>
      </c>
      <c r="K107" s="689">
        <f t="shared" si="2"/>
        <v>0</v>
      </c>
      <c r="L107" s="689">
        <f t="shared" si="2"/>
        <v>0</v>
      </c>
      <c r="M107" s="689">
        <f t="shared" si="2"/>
        <v>0</v>
      </c>
      <c r="N107" s="689">
        <f t="shared" si="2"/>
        <v>0</v>
      </c>
      <c r="O107" s="689">
        <f t="shared" si="2"/>
        <v>0</v>
      </c>
      <c r="P107" s="689">
        <f t="shared" si="2"/>
        <v>0</v>
      </c>
      <c r="Q107" s="689">
        <f t="shared" si="2"/>
        <v>0</v>
      </c>
      <c r="R107" s="689">
        <f t="shared" si="2"/>
        <v>0</v>
      </c>
      <c r="S107" s="689">
        <f t="shared" si="2"/>
        <v>0</v>
      </c>
      <c r="T107" s="689">
        <f t="shared" si="2"/>
        <v>0</v>
      </c>
      <c r="U107" s="689">
        <f t="shared" si="2"/>
        <v>0</v>
      </c>
      <c r="V107" s="689">
        <f t="shared" si="2"/>
        <v>0</v>
      </c>
      <c r="W107" s="689">
        <f t="shared" si="2"/>
        <v>0</v>
      </c>
      <c r="X107" s="689">
        <f t="shared" si="2"/>
        <v>0</v>
      </c>
      <c r="Y107" s="689">
        <f t="shared" si="2"/>
        <v>0</v>
      </c>
      <c r="Z107" s="689">
        <f t="shared" si="2"/>
        <v>0</v>
      </c>
      <c r="AA107" s="689">
        <f t="shared" si="2"/>
        <v>0</v>
      </c>
      <c r="AB107" s="689">
        <f t="shared" si="2"/>
        <v>0</v>
      </c>
      <c r="AC107" s="689">
        <f t="shared" si="2"/>
        <v>0</v>
      </c>
      <c r="AD107" s="689">
        <f t="shared" si="2"/>
        <v>0</v>
      </c>
      <c r="AE107" s="689">
        <f t="shared" si="2"/>
        <v>0</v>
      </c>
      <c r="AF107" s="689">
        <f t="shared" si="2"/>
        <v>0</v>
      </c>
      <c r="AG107" s="689">
        <f t="shared" si="2"/>
        <v>0</v>
      </c>
      <c r="AH107" s="689">
        <f>IF(AH4="",0,SUM(AH7:AH106))</f>
        <v>0</v>
      </c>
      <c r="AI107" s="689">
        <f t="shared" ref="AI107:AJ107" si="3">IF(AI4="",0,SUM(AI7:AI106))</f>
        <v>0</v>
      </c>
      <c r="AJ107" s="689">
        <f t="shared" si="3"/>
        <v>0</v>
      </c>
      <c r="AK107" s="688">
        <f t="shared" si="2"/>
        <v>0</v>
      </c>
    </row>
  </sheetData>
  <sheetProtection algorithmName="SHA-512" hashValue="RyXmwO258EAaCI1O86Y1s2gHKJr8FSwsXTtX9D2ihJ6RlhugJvIqrln+JEt61EbRpRxVPWH71M+zmI2tYojH2w==" saltValue="/i5ZkIZ+pjPPKXlLWl2pXQ==" spinCount="100000" sheet="1" objects="1" scenarios="1"/>
  <mergeCells count="123">
    <mergeCell ref="B107:E107"/>
    <mergeCell ref="D42:E42"/>
    <mergeCell ref="D43:E43"/>
    <mergeCell ref="D44:E44"/>
    <mergeCell ref="D45:E45"/>
    <mergeCell ref="D46:E46"/>
    <mergeCell ref="D104:E104"/>
    <mergeCell ref="D105:E105"/>
    <mergeCell ref="D106:E106"/>
    <mergeCell ref="D101:E101"/>
    <mergeCell ref="D102:E102"/>
    <mergeCell ref="D103:E103"/>
    <mergeCell ref="D52:E52"/>
    <mergeCell ref="D53:E53"/>
    <mergeCell ref="D54:E54"/>
    <mergeCell ref="D95:E95"/>
    <mergeCell ref="D98:E98"/>
    <mergeCell ref="D99:E99"/>
    <mergeCell ref="D100:E100"/>
    <mergeCell ref="D97:E97"/>
    <mergeCell ref="D47:E47"/>
    <mergeCell ref="D48:E48"/>
    <mergeCell ref="D49:E49"/>
    <mergeCell ref="D50:E50"/>
    <mergeCell ref="B4:B6"/>
    <mergeCell ref="C4:C6"/>
    <mergeCell ref="D35:E35"/>
    <mergeCell ref="D36:E36"/>
    <mergeCell ref="D22:E22"/>
    <mergeCell ref="D23:E23"/>
    <mergeCell ref="D24:E24"/>
    <mergeCell ref="D25:E25"/>
    <mergeCell ref="D27:E27"/>
    <mergeCell ref="D28:E28"/>
    <mergeCell ref="D26:E26"/>
    <mergeCell ref="D51:E51"/>
    <mergeCell ref="D29:E29"/>
    <mergeCell ref="D30:E30"/>
    <mergeCell ref="D31:E31"/>
    <mergeCell ref="D32:E32"/>
    <mergeCell ref="D33:E33"/>
    <mergeCell ref="D34:E34"/>
    <mergeCell ref="D37:E37"/>
    <mergeCell ref="D38:E38"/>
    <mergeCell ref="D39:E39"/>
    <mergeCell ref="D40:E40"/>
    <mergeCell ref="D41:E41"/>
    <mergeCell ref="D96:E96"/>
    <mergeCell ref="D15:E15"/>
    <mergeCell ref="AK4:AK6"/>
    <mergeCell ref="D5:E5"/>
    <mergeCell ref="D6:E6"/>
    <mergeCell ref="D7:E7"/>
    <mergeCell ref="D8:E8"/>
    <mergeCell ref="D9:E9"/>
    <mergeCell ref="D10:E10"/>
    <mergeCell ref="D11:E11"/>
    <mergeCell ref="D12:E12"/>
    <mergeCell ref="D13:E13"/>
    <mergeCell ref="D14:E14"/>
    <mergeCell ref="D4:E4"/>
    <mergeCell ref="D20:E20"/>
    <mergeCell ref="D21:E21"/>
    <mergeCell ref="D16:E16"/>
    <mergeCell ref="D17:E17"/>
    <mergeCell ref="D18:E18"/>
    <mergeCell ref="D19:E19"/>
    <mergeCell ref="D64:E64"/>
    <mergeCell ref="D65:E65"/>
    <mergeCell ref="D71:E71"/>
    <mergeCell ref="D72:E72"/>
    <mergeCell ref="AC1:AJ1"/>
    <mergeCell ref="C2:E2"/>
    <mergeCell ref="F2:J2"/>
    <mergeCell ref="AC2:AD2"/>
    <mergeCell ref="AF2:AG3"/>
    <mergeCell ref="AH2:AI3"/>
    <mergeCell ref="AJ2:AJ3"/>
    <mergeCell ref="AC3:AD3"/>
    <mergeCell ref="G1:H1"/>
    <mergeCell ref="L1:T1"/>
    <mergeCell ref="C3:E3"/>
    <mergeCell ref="F3:J3"/>
    <mergeCell ref="B1:E1"/>
    <mergeCell ref="K2:Z2"/>
    <mergeCell ref="K3:Z3"/>
    <mergeCell ref="AA2:AB3"/>
    <mergeCell ref="D73:E73"/>
    <mergeCell ref="D74:E74"/>
    <mergeCell ref="D75:E75"/>
    <mergeCell ref="D66:E66"/>
    <mergeCell ref="D67:E67"/>
    <mergeCell ref="D68:E68"/>
    <mergeCell ref="D69:E69"/>
    <mergeCell ref="D70:E70"/>
    <mergeCell ref="D55:E55"/>
    <mergeCell ref="D56:E56"/>
    <mergeCell ref="D57:E57"/>
    <mergeCell ref="D58:E58"/>
    <mergeCell ref="D59:E59"/>
    <mergeCell ref="D60:E60"/>
    <mergeCell ref="D61:E61"/>
    <mergeCell ref="D62:E62"/>
    <mergeCell ref="D63:E63"/>
    <mergeCell ref="D87:E87"/>
    <mergeCell ref="D93:E93"/>
    <mergeCell ref="D94:E94"/>
    <mergeCell ref="D88:E88"/>
    <mergeCell ref="D89:E89"/>
    <mergeCell ref="D90:E90"/>
    <mergeCell ref="D91:E91"/>
    <mergeCell ref="D92:E92"/>
    <mergeCell ref="D76:E76"/>
    <mergeCell ref="D82:E82"/>
    <mergeCell ref="D83:E83"/>
    <mergeCell ref="D84:E84"/>
    <mergeCell ref="D85:E85"/>
    <mergeCell ref="D86:E86"/>
    <mergeCell ref="D77:E77"/>
    <mergeCell ref="D78:E78"/>
    <mergeCell ref="D79:E79"/>
    <mergeCell ref="D80:E80"/>
    <mergeCell ref="D81:E81"/>
  </mergeCells>
  <phoneticPr fontId="1"/>
  <conditionalFormatting sqref="C7:C106">
    <cfRule type="expression" dxfId="19" priority="1">
      <formula>$C7&lt;&gt;""</formula>
    </cfRule>
  </conditionalFormatting>
  <conditionalFormatting sqref="F7:AI106">
    <cfRule type="expression" dxfId="18" priority="3">
      <formula>F$5="●"</formula>
    </cfRule>
  </conditionalFormatting>
  <conditionalFormatting sqref="F4:AJ6">
    <cfRule type="expression" dxfId="17" priority="40">
      <formula>F$5="○"</formula>
    </cfRule>
  </conditionalFormatting>
  <conditionalFormatting sqref="F7:AJ106">
    <cfRule type="expression" dxfId="16" priority="2">
      <formula>F$5="○"</formula>
    </cfRule>
  </conditionalFormatting>
  <conditionalFormatting sqref="AH7:AJ106">
    <cfRule type="expression" dxfId="15" priority="4">
      <formula>NOT(AH$4&lt;&gt;"")</formula>
    </cfRule>
  </conditionalFormatting>
  <conditionalFormatting sqref="AI4:AJ4 F4:AI6">
    <cfRule type="expression" dxfId="14" priority="36">
      <formula>F$5="●"</formula>
    </cfRule>
  </conditionalFormatting>
  <dataValidations count="4">
    <dataValidation type="whole" errorStyle="warning" allowBlank="1" showInputMessage="1" showErrorMessage="1" error="1～12の整数を入力してください。" sqref="AO2" xr:uid="{00000000-0002-0000-0B00-000000000000}">
      <formula1>1</formula1>
      <formula2>12</formula2>
    </dataValidation>
    <dataValidation errorStyle="warning" imeMode="hiragana" allowBlank="1" showInputMessage="1" showErrorMessage="1" sqref="C7:C106" xr:uid="{00000000-0002-0000-0B00-000001000000}"/>
    <dataValidation imeMode="halfAlpha" allowBlank="1" showInputMessage="1" showErrorMessage="1" sqref="AK7:AL7 AK8:AK106" xr:uid="{00000000-0002-0000-0B00-000002000000}"/>
    <dataValidation type="decimal" imeMode="halfAlpha" allowBlank="1" showErrorMessage="1" sqref="G7:AJ106" xr:uid="{00000000-0002-0000-0B00-000003000000}">
      <formula1>0</formula1>
      <formula2>24</formula2>
    </dataValidation>
  </dataValidations>
  <printOptions horizontalCentered="1"/>
  <pageMargins left="0" right="0" top="0.70866141732283472" bottom="0.59055118110236227" header="0" footer="0"/>
  <pageSetup paperSize="9" scale="61" fitToHeight="2" orientation="landscape" r:id="rId1"/>
  <headerFooter alignWithMargins="0">
    <oddHeader xml:space="preserve">&amp;R
</oddHeader>
  </headerFooter>
  <rowBreaks count="2" manualBreakCount="2">
    <brk id="54" min="1" max="36" man="1"/>
    <brk id="102" min="1" max="36" man="1"/>
  </rowBreaks>
  <drawing r:id="rId2"/>
  <extLst>
    <ext xmlns:x14="http://schemas.microsoft.com/office/spreadsheetml/2009/9/main" uri="{CCE6A557-97BC-4b89-ADB6-D9C93CAAB3DF}">
      <x14:dataValidations xmlns:xm="http://schemas.microsoft.com/office/excel/2006/main" count="1">
        <x14:dataValidation type="decimal" imeMode="halfAlpha" allowBlank="1" showErrorMessage="1" xr:uid="{EF8B0019-432C-4196-B87F-222D709A6ED5}">
          <x14:formula1>
            <xm:f>0</xm:f>
          </x14:formula1>
          <x14:formula2>
            <xm:f>【様式2】職員名簿!$F$5</xm:f>
          </x14:formula2>
          <xm:sqref>F7:F106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0000"/>
    <pageSetUpPr fitToPage="1"/>
  </sheetPr>
  <dimension ref="A1:T34"/>
  <sheetViews>
    <sheetView view="pageBreakPreview" zoomScale="90" zoomScaleNormal="100" zoomScaleSheetLayoutView="90" workbookViewId="0">
      <selection activeCell="A6" sqref="A6:A7"/>
    </sheetView>
  </sheetViews>
  <sheetFormatPr defaultRowHeight="12" outlineLevelCol="1"/>
  <cols>
    <col min="1" max="1" width="16.625" style="1059" customWidth="1"/>
    <col min="2" max="2" width="12.5" style="1059" customWidth="1"/>
    <col min="3" max="3" width="9.875" style="1059" customWidth="1"/>
    <col min="4" max="5" width="18" style="1059" customWidth="1"/>
    <col min="6" max="6" width="11.625" style="1059" customWidth="1"/>
    <col min="7" max="7" width="50.625" style="1059" customWidth="1"/>
    <col min="8" max="8" width="9" style="1059" hidden="1" customWidth="1" outlineLevel="1"/>
    <col min="9" max="9" width="9" style="1059" collapsed="1"/>
    <col min="10" max="256" width="9" style="1059"/>
    <col min="257" max="257" width="17.25" style="1059" customWidth="1"/>
    <col min="258" max="258" width="18.125" style="1059" customWidth="1"/>
    <col min="259" max="259" width="12.25" style="1059" customWidth="1"/>
    <col min="260" max="260" width="8.5" style="1059" customWidth="1"/>
    <col min="261" max="261" width="9.5" style="1059" customWidth="1"/>
    <col min="262" max="262" width="15.75" style="1059" customWidth="1"/>
    <col min="263" max="263" width="12.5" style="1059" customWidth="1"/>
    <col min="264" max="512" width="9" style="1059"/>
    <col min="513" max="513" width="17.25" style="1059" customWidth="1"/>
    <col min="514" max="514" width="18.125" style="1059" customWidth="1"/>
    <col min="515" max="515" width="12.25" style="1059" customWidth="1"/>
    <col min="516" max="516" width="8.5" style="1059" customWidth="1"/>
    <col min="517" max="517" width="9.5" style="1059" customWidth="1"/>
    <col min="518" max="518" width="15.75" style="1059" customWidth="1"/>
    <col min="519" max="519" width="12.5" style="1059" customWidth="1"/>
    <col min="520" max="768" width="9" style="1059"/>
    <col min="769" max="769" width="17.25" style="1059" customWidth="1"/>
    <col min="770" max="770" width="18.125" style="1059" customWidth="1"/>
    <col min="771" max="771" width="12.25" style="1059" customWidth="1"/>
    <col min="772" max="772" width="8.5" style="1059" customWidth="1"/>
    <col min="773" max="773" width="9.5" style="1059" customWidth="1"/>
    <col min="774" max="774" width="15.75" style="1059" customWidth="1"/>
    <col min="775" max="775" width="12.5" style="1059" customWidth="1"/>
    <col min="776" max="1024" width="9" style="1059"/>
    <col min="1025" max="1025" width="17.25" style="1059" customWidth="1"/>
    <col min="1026" max="1026" width="18.125" style="1059" customWidth="1"/>
    <col min="1027" max="1027" width="12.25" style="1059" customWidth="1"/>
    <col min="1028" max="1028" width="8.5" style="1059" customWidth="1"/>
    <col min="1029" max="1029" width="9.5" style="1059" customWidth="1"/>
    <col min="1030" max="1030" width="15.75" style="1059" customWidth="1"/>
    <col min="1031" max="1031" width="12.5" style="1059" customWidth="1"/>
    <col min="1032" max="1280" width="9" style="1059"/>
    <col min="1281" max="1281" width="17.25" style="1059" customWidth="1"/>
    <col min="1282" max="1282" width="18.125" style="1059" customWidth="1"/>
    <col min="1283" max="1283" width="12.25" style="1059" customWidth="1"/>
    <col min="1284" max="1284" width="8.5" style="1059" customWidth="1"/>
    <col min="1285" max="1285" width="9.5" style="1059" customWidth="1"/>
    <col min="1286" max="1286" width="15.75" style="1059" customWidth="1"/>
    <col min="1287" max="1287" width="12.5" style="1059" customWidth="1"/>
    <col min="1288" max="1536" width="9" style="1059"/>
    <col min="1537" max="1537" width="17.25" style="1059" customWidth="1"/>
    <col min="1538" max="1538" width="18.125" style="1059" customWidth="1"/>
    <col min="1539" max="1539" width="12.25" style="1059" customWidth="1"/>
    <col min="1540" max="1540" width="8.5" style="1059" customWidth="1"/>
    <col min="1541" max="1541" width="9.5" style="1059" customWidth="1"/>
    <col min="1542" max="1542" width="15.75" style="1059" customWidth="1"/>
    <col min="1543" max="1543" width="12.5" style="1059" customWidth="1"/>
    <col min="1544" max="1792" width="9" style="1059"/>
    <col min="1793" max="1793" width="17.25" style="1059" customWidth="1"/>
    <col min="1794" max="1794" width="18.125" style="1059" customWidth="1"/>
    <col min="1795" max="1795" width="12.25" style="1059" customWidth="1"/>
    <col min="1796" max="1796" width="8.5" style="1059" customWidth="1"/>
    <col min="1797" max="1797" width="9.5" style="1059" customWidth="1"/>
    <col min="1798" max="1798" width="15.75" style="1059" customWidth="1"/>
    <col min="1799" max="1799" width="12.5" style="1059" customWidth="1"/>
    <col min="1800" max="2048" width="9" style="1059"/>
    <col min="2049" max="2049" width="17.25" style="1059" customWidth="1"/>
    <col min="2050" max="2050" width="18.125" style="1059" customWidth="1"/>
    <col min="2051" max="2051" width="12.25" style="1059" customWidth="1"/>
    <col min="2052" max="2052" width="8.5" style="1059" customWidth="1"/>
    <col min="2053" max="2053" width="9.5" style="1059" customWidth="1"/>
    <col min="2054" max="2054" width="15.75" style="1059" customWidth="1"/>
    <col min="2055" max="2055" width="12.5" style="1059" customWidth="1"/>
    <col min="2056" max="2304" width="9" style="1059"/>
    <col min="2305" max="2305" width="17.25" style="1059" customWidth="1"/>
    <col min="2306" max="2306" width="18.125" style="1059" customWidth="1"/>
    <col min="2307" max="2307" width="12.25" style="1059" customWidth="1"/>
    <col min="2308" max="2308" width="8.5" style="1059" customWidth="1"/>
    <col min="2309" max="2309" width="9.5" style="1059" customWidth="1"/>
    <col min="2310" max="2310" width="15.75" style="1059" customWidth="1"/>
    <col min="2311" max="2311" width="12.5" style="1059" customWidth="1"/>
    <col min="2312" max="2560" width="9" style="1059"/>
    <col min="2561" max="2561" width="17.25" style="1059" customWidth="1"/>
    <col min="2562" max="2562" width="18.125" style="1059" customWidth="1"/>
    <col min="2563" max="2563" width="12.25" style="1059" customWidth="1"/>
    <col min="2564" max="2564" width="8.5" style="1059" customWidth="1"/>
    <col min="2565" max="2565" width="9.5" style="1059" customWidth="1"/>
    <col min="2566" max="2566" width="15.75" style="1059" customWidth="1"/>
    <col min="2567" max="2567" width="12.5" style="1059" customWidth="1"/>
    <col min="2568" max="2816" width="9" style="1059"/>
    <col min="2817" max="2817" width="17.25" style="1059" customWidth="1"/>
    <col min="2818" max="2818" width="18.125" style="1059" customWidth="1"/>
    <col min="2819" max="2819" width="12.25" style="1059" customWidth="1"/>
    <col min="2820" max="2820" width="8.5" style="1059" customWidth="1"/>
    <col min="2821" max="2821" width="9.5" style="1059" customWidth="1"/>
    <col min="2822" max="2822" width="15.75" style="1059" customWidth="1"/>
    <col min="2823" max="2823" width="12.5" style="1059" customWidth="1"/>
    <col min="2824" max="3072" width="9" style="1059"/>
    <col min="3073" max="3073" width="17.25" style="1059" customWidth="1"/>
    <col min="3074" max="3074" width="18.125" style="1059" customWidth="1"/>
    <col min="3075" max="3075" width="12.25" style="1059" customWidth="1"/>
    <col min="3076" max="3076" width="8.5" style="1059" customWidth="1"/>
    <col min="3077" max="3077" width="9.5" style="1059" customWidth="1"/>
    <col min="3078" max="3078" width="15.75" style="1059" customWidth="1"/>
    <col min="3079" max="3079" width="12.5" style="1059" customWidth="1"/>
    <col min="3080" max="3328" width="9" style="1059"/>
    <col min="3329" max="3329" width="17.25" style="1059" customWidth="1"/>
    <col min="3330" max="3330" width="18.125" style="1059" customWidth="1"/>
    <col min="3331" max="3331" width="12.25" style="1059" customWidth="1"/>
    <col min="3332" max="3332" width="8.5" style="1059" customWidth="1"/>
    <col min="3333" max="3333" width="9.5" style="1059" customWidth="1"/>
    <col min="3334" max="3334" width="15.75" style="1059" customWidth="1"/>
    <col min="3335" max="3335" width="12.5" style="1059" customWidth="1"/>
    <col min="3336" max="3584" width="9" style="1059"/>
    <col min="3585" max="3585" width="17.25" style="1059" customWidth="1"/>
    <col min="3586" max="3586" width="18.125" style="1059" customWidth="1"/>
    <col min="3587" max="3587" width="12.25" style="1059" customWidth="1"/>
    <col min="3588" max="3588" width="8.5" style="1059" customWidth="1"/>
    <col min="3589" max="3589" width="9.5" style="1059" customWidth="1"/>
    <col min="3590" max="3590" width="15.75" style="1059" customWidth="1"/>
    <col min="3591" max="3591" width="12.5" style="1059" customWidth="1"/>
    <col min="3592" max="3840" width="9" style="1059"/>
    <col min="3841" max="3841" width="17.25" style="1059" customWidth="1"/>
    <col min="3842" max="3842" width="18.125" style="1059" customWidth="1"/>
    <col min="3843" max="3843" width="12.25" style="1059" customWidth="1"/>
    <col min="3844" max="3844" width="8.5" style="1059" customWidth="1"/>
    <col min="3845" max="3845" width="9.5" style="1059" customWidth="1"/>
    <col min="3846" max="3846" width="15.75" style="1059" customWidth="1"/>
    <col min="3847" max="3847" width="12.5" style="1059" customWidth="1"/>
    <col min="3848" max="4096" width="9" style="1059"/>
    <col min="4097" max="4097" width="17.25" style="1059" customWidth="1"/>
    <col min="4098" max="4098" width="18.125" style="1059" customWidth="1"/>
    <col min="4099" max="4099" width="12.25" style="1059" customWidth="1"/>
    <col min="4100" max="4100" width="8.5" style="1059" customWidth="1"/>
    <col min="4101" max="4101" width="9.5" style="1059" customWidth="1"/>
    <col min="4102" max="4102" width="15.75" style="1059" customWidth="1"/>
    <col min="4103" max="4103" width="12.5" style="1059" customWidth="1"/>
    <col min="4104" max="4352" width="9" style="1059"/>
    <col min="4353" max="4353" width="17.25" style="1059" customWidth="1"/>
    <col min="4354" max="4354" width="18.125" style="1059" customWidth="1"/>
    <col min="4355" max="4355" width="12.25" style="1059" customWidth="1"/>
    <col min="4356" max="4356" width="8.5" style="1059" customWidth="1"/>
    <col min="4357" max="4357" width="9.5" style="1059" customWidth="1"/>
    <col min="4358" max="4358" width="15.75" style="1059" customWidth="1"/>
    <col min="4359" max="4359" width="12.5" style="1059" customWidth="1"/>
    <col min="4360" max="4608" width="9" style="1059"/>
    <col min="4609" max="4609" width="17.25" style="1059" customWidth="1"/>
    <col min="4610" max="4610" width="18.125" style="1059" customWidth="1"/>
    <col min="4611" max="4611" width="12.25" style="1059" customWidth="1"/>
    <col min="4612" max="4612" width="8.5" style="1059" customWidth="1"/>
    <col min="4613" max="4613" width="9.5" style="1059" customWidth="1"/>
    <col min="4614" max="4614" width="15.75" style="1059" customWidth="1"/>
    <col min="4615" max="4615" width="12.5" style="1059" customWidth="1"/>
    <col min="4616" max="4864" width="9" style="1059"/>
    <col min="4865" max="4865" width="17.25" style="1059" customWidth="1"/>
    <col min="4866" max="4866" width="18.125" style="1059" customWidth="1"/>
    <col min="4867" max="4867" width="12.25" style="1059" customWidth="1"/>
    <col min="4868" max="4868" width="8.5" style="1059" customWidth="1"/>
    <col min="4869" max="4869" width="9.5" style="1059" customWidth="1"/>
    <col min="4870" max="4870" width="15.75" style="1059" customWidth="1"/>
    <col min="4871" max="4871" width="12.5" style="1059" customWidth="1"/>
    <col min="4872" max="5120" width="9" style="1059"/>
    <col min="5121" max="5121" width="17.25" style="1059" customWidth="1"/>
    <col min="5122" max="5122" width="18.125" style="1059" customWidth="1"/>
    <col min="5123" max="5123" width="12.25" style="1059" customWidth="1"/>
    <col min="5124" max="5124" width="8.5" style="1059" customWidth="1"/>
    <col min="5125" max="5125" width="9.5" style="1059" customWidth="1"/>
    <col min="5126" max="5126" width="15.75" style="1059" customWidth="1"/>
    <col min="5127" max="5127" width="12.5" style="1059" customWidth="1"/>
    <col min="5128" max="5376" width="9" style="1059"/>
    <col min="5377" max="5377" width="17.25" style="1059" customWidth="1"/>
    <col min="5378" max="5378" width="18.125" style="1059" customWidth="1"/>
    <col min="5379" max="5379" width="12.25" style="1059" customWidth="1"/>
    <col min="5380" max="5380" width="8.5" style="1059" customWidth="1"/>
    <col min="5381" max="5381" width="9.5" style="1059" customWidth="1"/>
    <col min="5382" max="5382" width="15.75" style="1059" customWidth="1"/>
    <col min="5383" max="5383" width="12.5" style="1059" customWidth="1"/>
    <col min="5384" max="5632" width="9" style="1059"/>
    <col min="5633" max="5633" width="17.25" style="1059" customWidth="1"/>
    <col min="5634" max="5634" width="18.125" style="1059" customWidth="1"/>
    <col min="5635" max="5635" width="12.25" style="1059" customWidth="1"/>
    <col min="5636" max="5636" width="8.5" style="1059" customWidth="1"/>
    <col min="5637" max="5637" width="9.5" style="1059" customWidth="1"/>
    <col min="5638" max="5638" width="15.75" style="1059" customWidth="1"/>
    <col min="5639" max="5639" width="12.5" style="1059" customWidth="1"/>
    <col min="5640" max="5888" width="9" style="1059"/>
    <col min="5889" max="5889" width="17.25" style="1059" customWidth="1"/>
    <col min="5890" max="5890" width="18.125" style="1059" customWidth="1"/>
    <col min="5891" max="5891" width="12.25" style="1059" customWidth="1"/>
    <col min="5892" max="5892" width="8.5" style="1059" customWidth="1"/>
    <col min="5893" max="5893" width="9.5" style="1059" customWidth="1"/>
    <col min="5894" max="5894" width="15.75" style="1059" customWidth="1"/>
    <col min="5895" max="5895" width="12.5" style="1059" customWidth="1"/>
    <col min="5896" max="6144" width="9" style="1059"/>
    <col min="6145" max="6145" width="17.25" style="1059" customWidth="1"/>
    <col min="6146" max="6146" width="18.125" style="1059" customWidth="1"/>
    <col min="6147" max="6147" width="12.25" style="1059" customWidth="1"/>
    <col min="6148" max="6148" width="8.5" style="1059" customWidth="1"/>
    <col min="6149" max="6149" width="9.5" style="1059" customWidth="1"/>
    <col min="6150" max="6150" width="15.75" style="1059" customWidth="1"/>
    <col min="6151" max="6151" width="12.5" style="1059" customWidth="1"/>
    <col min="6152" max="6400" width="9" style="1059"/>
    <col min="6401" max="6401" width="17.25" style="1059" customWidth="1"/>
    <col min="6402" max="6402" width="18.125" style="1059" customWidth="1"/>
    <col min="6403" max="6403" width="12.25" style="1059" customWidth="1"/>
    <col min="6404" max="6404" width="8.5" style="1059" customWidth="1"/>
    <col min="6405" max="6405" width="9.5" style="1059" customWidth="1"/>
    <col min="6406" max="6406" width="15.75" style="1059" customWidth="1"/>
    <col min="6407" max="6407" width="12.5" style="1059" customWidth="1"/>
    <col min="6408" max="6656" width="9" style="1059"/>
    <col min="6657" max="6657" width="17.25" style="1059" customWidth="1"/>
    <col min="6658" max="6658" width="18.125" style="1059" customWidth="1"/>
    <col min="6659" max="6659" width="12.25" style="1059" customWidth="1"/>
    <col min="6660" max="6660" width="8.5" style="1059" customWidth="1"/>
    <col min="6661" max="6661" width="9.5" style="1059" customWidth="1"/>
    <col min="6662" max="6662" width="15.75" style="1059" customWidth="1"/>
    <col min="6663" max="6663" width="12.5" style="1059" customWidth="1"/>
    <col min="6664" max="6912" width="9" style="1059"/>
    <col min="6913" max="6913" width="17.25" style="1059" customWidth="1"/>
    <col min="6914" max="6914" width="18.125" style="1059" customWidth="1"/>
    <col min="6915" max="6915" width="12.25" style="1059" customWidth="1"/>
    <col min="6916" max="6916" width="8.5" style="1059" customWidth="1"/>
    <col min="6917" max="6917" width="9.5" style="1059" customWidth="1"/>
    <col min="6918" max="6918" width="15.75" style="1059" customWidth="1"/>
    <col min="6919" max="6919" width="12.5" style="1059" customWidth="1"/>
    <col min="6920" max="7168" width="9" style="1059"/>
    <col min="7169" max="7169" width="17.25" style="1059" customWidth="1"/>
    <col min="7170" max="7170" width="18.125" style="1059" customWidth="1"/>
    <col min="7171" max="7171" width="12.25" style="1059" customWidth="1"/>
    <col min="7172" max="7172" width="8.5" style="1059" customWidth="1"/>
    <col min="7173" max="7173" width="9.5" style="1059" customWidth="1"/>
    <col min="7174" max="7174" width="15.75" style="1059" customWidth="1"/>
    <col min="7175" max="7175" width="12.5" style="1059" customWidth="1"/>
    <col min="7176" max="7424" width="9" style="1059"/>
    <col min="7425" max="7425" width="17.25" style="1059" customWidth="1"/>
    <col min="7426" max="7426" width="18.125" style="1059" customWidth="1"/>
    <col min="7427" max="7427" width="12.25" style="1059" customWidth="1"/>
    <col min="7428" max="7428" width="8.5" style="1059" customWidth="1"/>
    <col min="7429" max="7429" width="9.5" style="1059" customWidth="1"/>
    <col min="7430" max="7430" width="15.75" style="1059" customWidth="1"/>
    <col min="7431" max="7431" width="12.5" style="1059" customWidth="1"/>
    <col min="7432" max="7680" width="9" style="1059"/>
    <col min="7681" max="7681" width="17.25" style="1059" customWidth="1"/>
    <col min="7682" max="7682" width="18.125" style="1059" customWidth="1"/>
    <col min="7683" max="7683" width="12.25" style="1059" customWidth="1"/>
    <col min="7684" max="7684" width="8.5" style="1059" customWidth="1"/>
    <col min="7685" max="7685" width="9.5" style="1059" customWidth="1"/>
    <col min="7686" max="7686" width="15.75" style="1059" customWidth="1"/>
    <col min="7687" max="7687" width="12.5" style="1059" customWidth="1"/>
    <col min="7688" max="7936" width="9" style="1059"/>
    <col min="7937" max="7937" width="17.25" style="1059" customWidth="1"/>
    <col min="7938" max="7938" width="18.125" style="1059" customWidth="1"/>
    <col min="7939" max="7939" width="12.25" style="1059" customWidth="1"/>
    <col min="7940" max="7940" width="8.5" style="1059" customWidth="1"/>
    <col min="7941" max="7941" width="9.5" style="1059" customWidth="1"/>
    <col min="7942" max="7942" width="15.75" style="1059" customWidth="1"/>
    <col min="7943" max="7943" width="12.5" style="1059" customWidth="1"/>
    <col min="7944" max="8192" width="9" style="1059"/>
    <col min="8193" max="8193" width="17.25" style="1059" customWidth="1"/>
    <col min="8194" max="8194" width="18.125" style="1059" customWidth="1"/>
    <col min="8195" max="8195" width="12.25" style="1059" customWidth="1"/>
    <col min="8196" max="8196" width="8.5" style="1059" customWidth="1"/>
    <col min="8197" max="8197" width="9.5" style="1059" customWidth="1"/>
    <col min="8198" max="8198" width="15.75" style="1059" customWidth="1"/>
    <col min="8199" max="8199" width="12.5" style="1059" customWidth="1"/>
    <col min="8200" max="8448" width="9" style="1059"/>
    <col min="8449" max="8449" width="17.25" style="1059" customWidth="1"/>
    <col min="8450" max="8450" width="18.125" style="1059" customWidth="1"/>
    <col min="8451" max="8451" width="12.25" style="1059" customWidth="1"/>
    <col min="8452" max="8452" width="8.5" style="1059" customWidth="1"/>
    <col min="8453" max="8453" width="9.5" style="1059" customWidth="1"/>
    <col min="8454" max="8454" width="15.75" style="1059" customWidth="1"/>
    <col min="8455" max="8455" width="12.5" style="1059" customWidth="1"/>
    <col min="8456" max="8704" width="9" style="1059"/>
    <col min="8705" max="8705" width="17.25" style="1059" customWidth="1"/>
    <col min="8706" max="8706" width="18.125" style="1059" customWidth="1"/>
    <col min="8707" max="8707" width="12.25" style="1059" customWidth="1"/>
    <col min="8708" max="8708" width="8.5" style="1059" customWidth="1"/>
    <col min="8709" max="8709" width="9.5" style="1059" customWidth="1"/>
    <col min="8710" max="8710" width="15.75" style="1059" customWidth="1"/>
    <col min="8711" max="8711" width="12.5" style="1059" customWidth="1"/>
    <col min="8712" max="8960" width="9" style="1059"/>
    <col min="8961" max="8961" width="17.25" style="1059" customWidth="1"/>
    <col min="8962" max="8962" width="18.125" style="1059" customWidth="1"/>
    <col min="8963" max="8963" width="12.25" style="1059" customWidth="1"/>
    <col min="8964" max="8964" width="8.5" style="1059" customWidth="1"/>
    <col min="8965" max="8965" width="9.5" style="1059" customWidth="1"/>
    <col min="8966" max="8966" width="15.75" style="1059" customWidth="1"/>
    <col min="8967" max="8967" width="12.5" style="1059" customWidth="1"/>
    <col min="8968" max="9216" width="9" style="1059"/>
    <col min="9217" max="9217" width="17.25" style="1059" customWidth="1"/>
    <col min="9218" max="9218" width="18.125" style="1059" customWidth="1"/>
    <col min="9219" max="9219" width="12.25" style="1059" customWidth="1"/>
    <col min="9220" max="9220" width="8.5" style="1059" customWidth="1"/>
    <col min="9221" max="9221" width="9.5" style="1059" customWidth="1"/>
    <col min="9222" max="9222" width="15.75" style="1059" customWidth="1"/>
    <col min="9223" max="9223" width="12.5" style="1059" customWidth="1"/>
    <col min="9224" max="9472" width="9" style="1059"/>
    <col min="9473" max="9473" width="17.25" style="1059" customWidth="1"/>
    <col min="9474" max="9474" width="18.125" style="1059" customWidth="1"/>
    <col min="9475" max="9475" width="12.25" style="1059" customWidth="1"/>
    <col min="9476" max="9476" width="8.5" style="1059" customWidth="1"/>
    <col min="9477" max="9477" width="9.5" style="1059" customWidth="1"/>
    <col min="9478" max="9478" width="15.75" style="1059" customWidth="1"/>
    <col min="9479" max="9479" width="12.5" style="1059" customWidth="1"/>
    <col min="9480" max="9728" width="9" style="1059"/>
    <col min="9729" max="9729" width="17.25" style="1059" customWidth="1"/>
    <col min="9730" max="9730" width="18.125" style="1059" customWidth="1"/>
    <col min="9731" max="9731" width="12.25" style="1059" customWidth="1"/>
    <col min="9732" max="9732" width="8.5" style="1059" customWidth="1"/>
    <col min="9733" max="9733" width="9.5" style="1059" customWidth="1"/>
    <col min="9734" max="9734" width="15.75" style="1059" customWidth="1"/>
    <col min="9735" max="9735" width="12.5" style="1059" customWidth="1"/>
    <col min="9736" max="9984" width="9" style="1059"/>
    <col min="9985" max="9985" width="17.25" style="1059" customWidth="1"/>
    <col min="9986" max="9986" width="18.125" style="1059" customWidth="1"/>
    <col min="9987" max="9987" width="12.25" style="1059" customWidth="1"/>
    <col min="9988" max="9988" width="8.5" style="1059" customWidth="1"/>
    <col min="9989" max="9989" width="9.5" style="1059" customWidth="1"/>
    <col min="9990" max="9990" width="15.75" style="1059" customWidth="1"/>
    <col min="9991" max="9991" width="12.5" style="1059" customWidth="1"/>
    <col min="9992" max="10240" width="9" style="1059"/>
    <col min="10241" max="10241" width="17.25" style="1059" customWidth="1"/>
    <col min="10242" max="10242" width="18.125" style="1059" customWidth="1"/>
    <col min="10243" max="10243" width="12.25" style="1059" customWidth="1"/>
    <col min="10244" max="10244" width="8.5" style="1059" customWidth="1"/>
    <col min="10245" max="10245" width="9.5" style="1059" customWidth="1"/>
    <col min="10246" max="10246" width="15.75" style="1059" customWidth="1"/>
    <col min="10247" max="10247" width="12.5" style="1059" customWidth="1"/>
    <col min="10248" max="10496" width="9" style="1059"/>
    <col min="10497" max="10497" width="17.25" style="1059" customWidth="1"/>
    <col min="10498" max="10498" width="18.125" style="1059" customWidth="1"/>
    <col min="10499" max="10499" width="12.25" style="1059" customWidth="1"/>
    <col min="10500" max="10500" width="8.5" style="1059" customWidth="1"/>
    <col min="10501" max="10501" width="9.5" style="1059" customWidth="1"/>
    <col min="10502" max="10502" width="15.75" style="1059" customWidth="1"/>
    <col min="10503" max="10503" width="12.5" style="1059" customWidth="1"/>
    <col min="10504" max="10752" width="9" style="1059"/>
    <col min="10753" max="10753" width="17.25" style="1059" customWidth="1"/>
    <col min="10754" max="10754" width="18.125" style="1059" customWidth="1"/>
    <col min="10755" max="10755" width="12.25" style="1059" customWidth="1"/>
    <col min="10756" max="10756" width="8.5" style="1059" customWidth="1"/>
    <col min="10757" max="10757" width="9.5" style="1059" customWidth="1"/>
    <col min="10758" max="10758" width="15.75" style="1059" customWidth="1"/>
    <col min="10759" max="10759" width="12.5" style="1059" customWidth="1"/>
    <col min="10760" max="11008" width="9" style="1059"/>
    <col min="11009" max="11009" width="17.25" style="1059" customWidth="1"/>
    <col min="11010" max="11010" width="18.125" style="1059" customWidth="1"/>
    <col min="11011" max="11011" width="12.25" style="1059" customWidth="1"/>
    <col min="11012" max="11012" width="8.5" style="1059" customWidth="1"/>
    <col min="11013" max="11013" width="9.5" style="1059" customWidth="1"/>
    <col min="11014" max="11014" width="15.75" style="1059" customWidth="1"/>
    <col min="11015" max="11015" width="12.5" style="1059" customWidth="1"/>
    <col min="11016" max="11264" width="9" style="1059"/>
    <col min="11265" max="11265" width="17.25" style="1059" customWidth="1"/>
    <col min="11266" max="11266" width="18.125" style="1059" customWidth="1"/>
    <col min="11267" max="11267" width="12.25" style="1059" customWidth="1"/>
    <col min="11268" max="11268" width="8.5" style="1059" customWidth="1"/>
    <col min="11269" max="11269" width="9.5" style="1059" customWidth="1"/>
    <col min="11270" max="11270" width="15.75" style="1059" customWidth="1"/>
    <col min="11271" max="11271" width="12.5" style="1059" customWidth="1"/>
    <col min="11272" max="11520" width="9" style="1059"/>
    <col min="11521" max="11521" width="17.25" style="1059" customWidth="1"/>
    <col min="11522" max="11522" width="18.125" style="1059" customWidth="1"/>
    <col min="11523" max="11523" width="12.25" style="1059" customWidth="1"/>
    <col min="11524" max="11524" width="8.5" style="1059" customWidth="1"/>
    <col min="11525" max="11525" width="9.5" style="1059" customWidth="1"/>
    <col min="11526" max="11526" width="15.75" style="1059" customWidth="1"/>
    <col min="11527" max="11527" width="12.5" style="1059" customWidth="1"/>
    <col min="11528" max="11776" width="9" style="1059"/>
    <col min="11777" max="11777" width="17.25" style="1059" customWidth="1"/>
    <col min="11778" max="11778" width="18.125" style="1059" customWidth="1"/>
    <col min="11779" max="11779" width="12.25" style="1059" customWidth="1"/>
    <col min="11780" max="11780" width="8.5" style="1059" customWidth="1"/>
    <col min="11781" max="11781" width="9.5" style="1059" customWidth="1"/>
    <col min="11782" max="11782" width="15.75" style="1059" customWidth="1"/>
    <col min="11783" max="11783" width="12.5" style="1059" customWidth="1"/>
    <col min="11784" max="12032" width="9" style="1059"/>
    <col min="12033" max="12033" width="17.25" style="1059" customWidth="1"/>
    <col min="12034" max="12034" width="18.125" style="1059" customWidth="1"/>
    <col min="12035" max="12035" width="12.25" style="1059" customWidth="1"/>
    <col min="12036" max="12036" width="8.5" style="1059" customWidth="1"/>
    <col min="12037" max="12037" width="9.5" style="1059" customWidth="1"/>
    <col min="12038" max="12038" width="15.75" style="1059" customWidth="1"/>
    <col min="12039" max="12039" width="12.5" style="1059" customWidth="1"/>
    <col min="12040" max="12288" width="9" style="1059"/>
    <col min="12289" max="12289" width="17.25" style="1059" customWidth="1"/>
    <col min="12290" max="12290" width="18.125" style="1059" customWidth="1"/>
    <col min="12291" max="12291" width="12.25" style="1059" customWidth="1"/>
    <col min="12292" max="12292" width="8.5" style="1059" customWidth="1"/>
    <col min="12293" max="12293" width="9.5" style="1059" customWidth="1"/>
    <col min="12294" max="12294" width="15.75" style="1059" customWidth="1"/>
    <col min="12295" max="12295" width="12.5" style="1059" customWidth="1"/>
    <col min="12296" max="12544" width="9" style="1059"/>
    <col min="12545" max="12545" width="17.25" style="1059" customWidth="1"/>
    <col min="12546" max="12546" width="18.125" style="1059" customWidth="1"/>
    <col min="12547" max="12547" width="12.25" style="1059" customWidth="1"/>
    <col min="12548" max="12548" width="8.5" style="1059" customWidth="1"/>
    <col min="12549" max="12549" width="9.5" style="1059" customWidth="1"/>
    <col min="12550" max="12550" width="15.75" style="1059" customWidth="1"/>
    <col min="12551" max="12551" width="12.5" style="1059" customWidth="1"/>
    <col min="12552" max="12800" width="9" style="1059"/>
    <col min="12801" max="12801" width="17.25" style="1059" customWidth="1"/>
    <col min="12802" max="12802" width="18.125" style="1059" customWidth="1"/>
    <col min="12803" max="12803" width="12.25" style="1059" customWidth="1"/>
    <col min="12804" max="12804" width="8.5" style="1059" customWidth="1"/>
    <col min="12805" max="12805" width="9.5" style="1059" customWidth="1"/>
    <col min="12806" max="12806" width="15.75" style="1059" customWidth="1"/>
    <col min="12807" max="12807" width="12.5" style="1059" customWidth="1"/>
    <col min="12808" max="13056" width="9" style="1059"/>
    <col min="13057" max="13057" width="17.25" style="1059" customWidth="1"/>
    <col min="13058" max="13058" width="18.125" style="1059" customWidth="1"/>
    <col min="13059" max="13059" width="12.25" style="1059" customWidth="1"/>
    <col min="13060" max="13060" width="8.5" style="1059" customWidth="1"/>
    <col min="13061" max="13061" width="9.5" style="1059" customWidth="1"/>
    <col min="13062" max="13062" width="15.75" style="1059" customWidth="1"/>
    <col min="13063" max="13063" width="12.5" style="1059" customWidth="1"/>
    <col min="13064" max="13312" width="9" style="1059"/>
    <col min="13313" max="13313" width="17.25" style="1059" customWidth="1"/>
    <col min="13314" max="13314" width="18.125" style="1059" customWidth="1"/>
    <col min="13315" max="13315" width="12.25" style="1059" customWidth="1"/>
    <col min="13316" max="13316" width="8.5" style="1059" customWidth="1"/>
    <col min="13317" max="13317" width="9.5" style="1059" customWidth="1"/>
    <col min="13318" max="13318" width="15.75" style="1059" customWidth="1"/>
    <col min="13319" max="13319" width="12.5" style="1059" customWidth="1"/>
    <col min="13320" max="13568" width="9" style="1059"/>
    <col min="13569" max="13569" width="17.25" style="1059" customWidth="1"/>
    <col min="13570" max="13570" width="18.125" style="1059" customWidth="1"/>
    <col min="13571" max="13571" width="12.25" style="1059" customWidth="1"/>
    <col min="13572" max="13572" width="8.5" style="1059" customWidth="1"/>
    <col min="13573" max="13573" width="9.5" style="1059" customWidth="1"/>
    <col min="13574" max="13574" width="15.75" style="1059" customWidth="1"/>
    <col min="13575" max="13575" width="12.5" style="1059" customWidth="1"/>
    <col min="13576" max="13824" width="9" style="1059"/>
    <col min="13825" max="13825" width="17.25" style="1059" customWidth="1"/>
    <col min="13826" max="13826" width="18.125" style="1059" customWidth="1"/>
    <col min="13827" max="13827" width="12.25" style="1059" customWidth="1"/>
    <col min="13828" max="13828" width="8.5" style="1059" customWidth="1"/>
    <col min="13829" max="13829" width="9.5" style="1059" customWidth="1"/>
    <col min="13830" max="13830" width="15.75" style="1059" customWidth="1"/>
    <col min="13831" max="13831" width="12.5" style="1059" customWidth="1"/>
    <col min="13832" max="14080" width="9" style="1059"/>
    <col min="14081" max="14081" width="17.25" style="1059" customWidth="1"/>
    <col min="14082" max="14082" width="18.125" style="1059" customWidth="1"/>
    <col min="14083" max="14083" width="12.25" style="1059" customWidth="1"/>
    <col min="14084" max="14084" width="8.5" style="1059" customWidth="1"/>
    <col min="14085" max="14085" width="9.5" style="1059" customWidth="1"/>
    <col min="14086" max="14086" width="15.75" style="1059" customWidth="1"/>
    <col min="14087" max="14087" width="12.5" style="1059" customWidth="1"/>
    <col min="14088" max="14336" width="9" style="1059"/>
    <col min="14337" max="14337" width="17.25" style="1059" customWidth="1"/>
    <col min="14338" max="14338" width="18.125" style="1059" customWidth="1"/>
    <col min="14339" max="14339" width="12.25" style="1059" customWidth="1"/>
    <col min="14340" max="14340" width="8.5" style="1059" customWidth="1"/>
    <col min="14341" max="14341" width="9.5" style="1059" customWidth="1"/>
    <col min="14342" max="14342" width="15.75" style="1059" customWidth="1"/>
    <col min="14343" max="14343" width="12.5" style="1059" customWidth="1"/>
    <col min="14344" max="14592" width="9" style="1059"/>
    <col min="14593" max="14593" width="17.25" style="1059" customWidth="1"/>
    <col min="14594" max="14594" width="18.125" style="1059" customWidth="1"/>
    <col min="14595" max="14595" width="12.25" style="1059" customWidth="1"/>
    <col min="14596" max="14596" width="8.5" style="1059" customWidth="1"/>
    <col min="14597" max="14597" width="9.5" style="1059" customWidth="1"/>
    <col min="14598" max="14598" width="15.75" style="1059" customWidth="1"/>
    <col min="14599" max="14599" width="12.5" style="1059" customWidth="1"/>
    <col min="14600" max="14848" width="9" style="1059"/>
    <col min="14849" max="14849" width="17.25" style="1059" customWidth="1"/>
    <col min="14850" max="14850" width="18.125" style="1059" customWidth="1"/>
    <col min="14851" max="14851" width="12.25" style="1059" customWidth="1"/>
    <col min="14852" max="14852" width="8.5" style="1059" customWidth="1"/>
    <col min="14853" max="14853" width="9.5" style="1059" customWidth="1"/>
    <col min="14854" max="14854" width="15.75" style="1059" customWidth="1"/>
    <col min="14855" max="14855" width="12.5" style="1059" customWidth="1"/>
    <col min="14856" max="15104" width="9" style="1059"/>
    <col min="15105" max="15105" width="17.25" style="1059" customWidth="1"/>
    <col min="15106" max="15106" width="18.125" style="1059" customWidth="1"/>
    <col min="15107" max="15107" width="12.25" style="1059" customWidth="1"/>
    <col min="15108" max="15108" width="8.5" style="1059" customWidth="1"/>
    <col min="15109" max="15109" width="9.5" style="1059" customWidth="1"/>
    <col min="15110" max="15110" width="15.75" style="1059" customWidth="1"/>
    <col min="15111" max="15111" width="12.5" style="1059" customWidth="1"/>
    <col min="15112" max="15360" width="9" style="1059"/>
    <col min="15361" max="15361" width="17.25" style="1059" customWidth="1"/>
    <col min="15362" max="15362" width="18.125" style="1059" customWidth="1"/>
    <col min="15363" max="15363" width="12.25" style="1059" customWidth="1"/>
    <col min="15364" max="15364" width="8.5" style="1059" customWidth="1"/>
    <col min="15365" max="15365" width="9.5" style="1059" customWidth="1"/>
    <col min="15366" max="15366" width="15.75" style="1059" customWidth="1"/>
    <col min="15367" max="15367" width="12.5" style="1059" customWidth="1"/>
    <col min="15368" max="15616" width="9" style="1059"/>
    <col min="15617" max="15617" width="17.25" style="1059" customWidth="1"/>
    <col min="15618" max="15618" width="18.125" style="1059" customWidth="1"/>
    <col min="15619" max="15619" width="12.25" style="1059" customWidth="1"/>
    <col min="15620" max="15620" width="8.5" style="1059" customWidth="1"/>
    <col min="15621" max="15621" width="9.5" style="1059" customWidth="1"/>
    <col min="15622" max="15622" width="15.75" style="1059" customWidth="1"/>
    <col min="15623" max="15623" width="12.5" style="1059" customWidth="1"/>
    <col min="15624" max="15872" width="9" style="1059"/>
    <col min="15873" max="15873" width="17.25" style="1059" customWidth="1"/>
    <col min="15874" max="15874" width="18.125" style="1059" customWidth="1"/>
    <col min="15875" max="15875" width="12.25" style="1059" customWidth="1"/>
    <col min="15876" max="15876" width="8.5" style="1059" customWidth="1"/>
    <col min="15877" max="15877" width="9.5" style="1059" customWidth="1"/>
    <col min="15878" max="15878" width="15.75" style="1059" customWidth="1"/>
    <col min="15879" max="15879" width="12.5" style="1059" customWidth="1"/>
    <col min="15880" max="16128" width="9" style="1059"/>
    <col min="16129" max="16129" width="17.25" style="1059" customWidth="1"/>
    <col min="16130" max="16130" width="18.125" style="1059" customWidth="1"/>
    <col min="16131" max="16131" width="12.25" style="1059" customWidth="1"/>
    <col min="16132" max="16132" width="8.5" style="1059" customWidth="1"/>
    <col min="16133" max="16133" width="9.5" style="1059" customWidth="1"/>
    <col min="16134" max="16134" width="15.75" style="1059" customWidth="1"/>
    <col min="16135" max="16135" width="12.5" style="1059" customWidth="1"/>
    <col min="16136" max="16384" width="9" style="1059"/>
  </cols>
  <sheetData>
    <row r="1" spans="1:8" ht="15" customHeight="1">
      <c r="A1" s="1057" t="s">
        <v>450</v>
      </c>
      <c r="B1" s="1058"/>
      <c r="C1" s="1058"/>
      <c r="D1" s="2091" t="str">
        <f>H2&amp;"様式4"&amp;H3</f>
        <v>加-25_4月申-様式4-幼_Ver.4.00</v>
      </c>
      <c r="E1" s="2091"/>
      <c r="F1" s="2091"/>
      <c r="H1" s="221" t="s">
        <v>942</v>
      </c>
    </row>
    <row r="2" spans="1:8" ht="15" customHeight="1">
      <c r="A2" s="1058"/>
      <c r="B2" s="1058"/>
      <c r="C2" s="1058"/>
      <c r="D2" s="1058"/>
      <c r="E2" s="1058"/>
      <c r="F2" s="1058"/>
      <c r="H2" s="221" t="str">
        <f>【様式１】総括表・個票!$AJ$2</f>
        <v>加-25_4月申-</v>
      </c>
    </row>
    <row r="3" spans="1:8" ht="15" customHeight="1">
      <c r="A3" s="2099" t="str">
        <f>+【様式2】職員名簿!A2</f>
        <v>2025年度</v>
      </c>
      <c r="B3" s="2099"/>
      <c r="C3" s="2099"/>
      <c r="D3" s="1060" t="s">
        <v>13</v>
      </c>
      <c r="E3" s="1060" t="str">
        <f>+【様式2】職員名簿!G2</f>
        <v>【4月分】</v>
      </c>
      <c r="F3" s="1061"/>
      <c r="H3" s="221" t="str">
        <f>【様式１】総括表・個票!$AJ$3</f>
        <v>-幼_Ver.4.00</v>
      </c>
    </row>
    <row r="4" spans="1:8" ht="15" customHeight="1" thickBot="1">
      <c r="A4" s="1062"/>
      <c r="B4" s="1062"/>
      <c r="C4" s="1062"/>
      <c r="D4" s="1063"/>
      <c r="E4" s="1064"/>
      <c r="F4" s="1064"/>
    </row>
    <row r="5" spans="1:8" s="1069" customFormat="1" ht="18.75" customHeight="1">
      <c r="A5" s="1065" t="s">
        <v>14</v>
      </c>
      <c r="B5" s="1066" t="s">
        <v>15</v>
      </c>
      <c r="C5" s="1066" t="s">
        <v>16</v>
      </c>
      <c r="D5" s="1067" t="s">
        <v>1006</v>
      </c>
      <c r="E5" s="1067" t="s">
        <v>17</v>
      </c>
      <c r="F5" s="1068" t="s">
        <v>18</v>
      </c>
    </row>
    <row r="6" spans="1:8" ht="30" customHeight="1">
      <c r="A6" s="2112"/>
      <c r="B6" s="1071"/>
      <c r="C6" s="1072"/>
      <c r="D6" s="2094"/>
      <c r="E6" s="2094"/>
      <c r="F6" s="2096"/>
    </row>
    <row r="7" spans="1:8" ht="30" customHeight="1">
      <c r="A7" s="2113"/>
      <c r="B7" s="1071"/>
      <c r="C7" s="1072"/>
      <c r="D7" s="2095"/>
      <c r="E7" s="2095"/>
      <c r="F7" s="2097"/>
    </row>
    <row r="8" spans="1:8" ht="30" customHeight="1">
      <c r="A8" s="2112"/>
      <c r="B8" s="1071"/>
      <c r="C8" s="1072"/>
      <c r="D8" s="2094"/>
      <c r="E8" s="2094"/>
      <c r="F8" s="2096"/>
    </row>
    <row r="9" spans="1:8" ht="30" customHeight="1">
      <c r="A9" s="2113"/>
      <c r="B9" s="1071"/>
      <c r="C9" s="1072"/>
      <c r="D9" s="2095"/>
      <c r="E9" s="2095"/>
      <c r="F9" s="2097"/>
    </row>
    <row r="10" spans="1:8" ht="30" customHeight="1">
      <c r="A10" s="2112"/>
      <c r="B10" s="1071"/>
      <c r="C10" s="1072"/>
      <c r="D10" s="2094"/>
      <c r="E10" s="2094"/>
      <c r="F10" s="2096"/>
    </row>
    <row r="11" spans="1:8" ht="30" customHeight="1">
      <c r="A11" s="2113"/>
      <c r="B11" s="1071"/>
      <c r="C11" s="1072"/>
      <c r="D11" s="2095"/>
      <c r="E11" s="2095"/>
      <c r="F11" s="2097"/>
    </row>
    <row r="12" spans="1:8" ht="30" customHeight="1">
      <c r="A12" s="2112"/>
      <c r="B12" s="1071"/>
      <c r="C12" s="1072"/>
      <c r="D12" s="2094"/>
      <c r="E12" s="2094"/>
      <c r="F12" s="2096"/>
    </row>
    <row r="13" spans="1:8" ht="30" customHeight="1">
      <c r="A13" s="2113"/>
      <c r="B13" s="1071"/>
      <c r="C13" s="1072"/>
      <c r="D13" s="2095"/>
      <c r="E13" s="2095"/>
      <c r="F13" s="2097"/>
    </row>
    <row r="14" spans="1:8" ht="30" customHeight="1">
      <c r="A14" s="2112"/>
      <c r="B14" s="1071"/>
      <c r="C14" s="1072"/>
      <c r="D14" s="2094"/>
      <c r="E14" s="2094"/>
      <c r="F14" s="2096"/>
    </row>
    <row r="15" spans="1:8" ht="30" customHeight="1">
      <c r="A15" s="2113"/>
      <c r="B15" s="1071"/>
      <c r="C15" s="1072"/>
      <c r="D15" s="2095"/>
      <c r="E15" s="2095"/>
      <c r="F15" s="2097"/>
    </row>
    <row r="16" spans="1:8" ht="30" customHeight="1">
      <c r="A16" s="2112"/>
      <c r="B16" s="1071"/>
      <c r="C16" s="1072"/>
      <c r="D16" s="2094"/>
      <c r="E16" s="2094"/>
      <c r="F16" s="2096"/>
    </row>
    <row r="17" spans="1:6" ht="30" customHeight="1">
      <c r="A17" s="2113"/>
      <c r="B17" s="1071"/>
      <c r="C17" s="1072"/>
      <c r="D17" s="2095"/>
      <c r="E17" s="2095"/>
      <c r="F17" s="2097"/>
    </row>
    <row r="18" spans="1:6" ht="30" customHeight="1">
      <c r="A18" s="2112"/>
      <c r="B18" s="1071"/>
      <c r="C18" s="1072"/>
      <c r="D18" s="2094"/>
      <c r="E18" s="2094"/>
      <c r="F18" s="2096"/>
    </row>
    <row r="19" spans="1:6" ht="30" customHeight="1">
      <c r="A19" s="2113"/>
      <c r="B19" s="1071"/>
      <c r="C19" s="1072"/>
      <c r="D19" s="2095"/>
      <c r="E19" s="2095"/>
      <c r="F19" s="2097"/>
    </row>
    <row r="20" spans="1:6" ht="30" customHeight="1">
      <c r="A20" s="2112"/>
      <c r="B20" s="1071"/>
      <c r="C20" s="1072"/>
      <c r="D20" s="2094"/>
      <c r="E20" s="2094"/>
      <c r="F20" s="2096"/>
    </row>
    <row r="21" spans="1:6" ht="30" customHeight="1">
      <c r="A21" s="2113"/>
      <c r="B21" s="1071"/>
      <c r="C21" s="1072"/>
      <c r="D21" s="2095"/>
      <c r="E21" s="2095"/>
      <c r="F21" s="2097"/>
    </row>
    <row r="22" spans="1:6" ht="30" customHeight="1">
      <c r="A22" s="2112"/>
      <c r="B22" s="1071"/>
      <c r="C22" s="1072"/>
      <c r="D22" s="2094"/>
      <c r="E22" s="2094"/>
      <c r="F22" s="2096"/>
    </row>
    <row r="23" spans="1:6" ht="30" customHeight="1">
      <c r="A23" s="2113"/>
      <c r="B23" s="1071"/>
      <c r="C23" s="1072"/>
      <c r="D23" s="2095"/>
      <c r="E23" s="2095"/>
      <c r="F23" s="2097"/>
    </row>
    <row r="24" spans="1:6" ht="30" customHeight="1">
      <c r="A24" s="2112"/>
      <c r="B24" s="1071"/>
      <c r="C24" s="1072"/>
      <c r="D24" s="2094"/>
      <c r="E24" s="2094"/>
      <c r="F24" s="2096"/>
    </row>
    <row r="25" spans="1:6" ht="30" customHeight="1" thickBot="1">
      <c r="A25" s="2113"/>
      <c r="B25" s="1071"/>
      <c r="C25" s="1072"/>
      <c r="D25" s="2095"/>
      <c r="E25" s="2095"/>
      <c r="F25" s="2097"/>
    </row>
    <row r="26" spans="1:6" ht="30" customHeight="1">
      <c r="A26" s="2100" t="s">
        <v>19</v>
      </c>
      <c r="B26" s="2102" t="s">
        <v>20</v>
      </c>
      <c r="C26" s="2103"/>
      <c r="D26" s="2104"/>
      <c r="E26" s="2105"/>
      <c r="F26" s="2106"/>
    </row>
    <row r="27" spans="1:6" ht="30" customHeight="1" thickBot="1">
      <c r="A27" s="2101"/>
      <c r="B27" s="2110">
        <f>SUM(C6:C25)</f>
        <v>0</v>
      </c>
      <c r="C27" s="2111">
        <v>0</v>
      </c>
      <c r="D27" s="2107"/>
      <c r="E27" s="2108"/>
      <c r="F27" s="2109"/>
    </row>
    <row r="28" spans="1:6" ht="12.75" customHeight="1">
      <c r="A28" s="1058"/>
      <c r="B28" s="1058"/>
      <c r="C28" s="1058"/>
      <c r="D28" s="1058"/>
      <c r="E28" s="1058"/>
      <c r="F28" s="1058"/>
    </row>
    <row r="29" spans="1:6" ht="12.75" customHeight="1">
      <c r="A29" s="2092" t="s">
        <v>181</v>
      </c>
      <c r="B29" s="2092"/>
      <c r="C29" s="2092"/>
      <c r="D29" s="2092"/>
      <c r="E29" s="2092"/>
      <c r="F29" s="2092"/>
    </row>
    <row r="30" spans="1:6" ht="15" customHeight="1">
      <c r="A30" s="2093" t="s">
        <v>21</v>
      </c>
      <c r="B30" s="2093"/>
      <c r="C30" s="2093"/>
      <c r="D30" s="2093"/>
      <c r="E30" s="2093"/>
      <c r="F30" s="2093"/>
    </row>
    <row r="31" spans="1:6" ht="15" customHeight="1">
      <c r="A31" s="2093" t="s">
        <v>182</v>
      </c>
      <c r="B31" s="2093"/>
      <c r="C31" s="2093"/>
      <c r="D31" s="2093"/>
      <c r="E31" s="2093"/>
      <c r="F31" s="2093"/>
    </row>
    <row r="32" spans="1:6" ht="15" customHeight="1">
      <c r="A32" s="2093" t="s">
        <v>183</v>
      </c>
      <c r="B32" s="2093"/>
      <c r="C32" s="2093"/>
      <c r="D32" s="2093"/>
      <c r="E32" s="2093"/>
      <c r="F32" s="2093"/>
    </row>
    <row r="33" spans="1:20" ht="10.5" customHeight="1">
      <c r="A33" s="1059" t="s">
        <v>207</v>
      </c>
    </row>
    <row r="34" spans="1:20" ht="12.75" customHeight="1">
      <c r="K34" s="1070"/>
      <c r="N34" s="2098"/>
      <c r="O34" s="2098"/>
      <c r="P34" s="2098"/>
      <c r="Q34" s="2098"/>
      <c r="R34" s="2098"/>
      <c r="S34" s="2098"/>
      <c r="T34" s="2098"/>
    </row>
  </sheetData>
  <sheetProtection selectLockedCells="1"/>
  <mergeCells count="51">
    <mergeCell ref="N34:T34"/>
    <mergeCell ref="A3:C3"/>
    <mergeCell ref="A26:A27"/>
    <mergeCell ref="B26:C26"/>
    <mergeCell ref="D26:F27"/>
    <mergeCell ref="B27:C27"/>
    <mergeCell ref="A6:A7"/>
    <mergeCell ref="A8:A9"/>
    <mergeCell ref="A10:A11"/>
    <mergeCell ref="A12:A13"/>
    <mergeCell ref="A14:A15"/>
    <mergeCell ref="A16:A17"/>
    <mergeCell ref="A18:A19"/>
    <mergeCell ref="A20:A21"/>
    <mergeCell ref="A22:A23"/>
    <mergeCell ref="A24:A25"/>
    <mergeCell ref="D6:D7"/>
    <mergeCell ref="E6:E7"/>
    <mergeCell ref="F6:F7"/>
    <mergeCell ref="D8:D9"/>
    <mergeCell ref="E8:E9"/>
    <mergeCell ref="F8:F9"/>
    <mergeCell ref="D10:D11"/>
    <mergeCell ref="E10:E11"/>
    <mergeCell ref="F10:F11"/>
    <mergeCell ref="D12:D13"/>
    <mergeCell ref="E12:E13"/>
    <mergeCell ref="F12:F13"/>
    <mergeCell ref="D14:D15"/>
    <mergeCell ref="E14:E15"/>
    <mergeCell ref="E16:E17"/>
    <mergeCell ref="F16:F17"/>
    <mergeCell ref="D18:D19"/>
    <mergeCell ref="E18:E19"/>
    <mergeCell ref="F18:F19"/>
    <mergeCell ref="D1:F1"/>
    <mergeCell ref="A29:F29"/>
    <mergeCell ref="A30:F30"/>
    <mergeCell ref="A31:F31"/>
    <mergeCell ref="A32:F32"/>
    <mergeCell ref="D24:D25"/>
    <mergeCell ref="E24:E25"/>
    <mergeCell ref="F24:F25"/>
    <mergeCell ref="D20:D21"/>
    <mergeCell ref="E20:E21"/>
    <mergeCell ref="F20:F21"/>
    <mergeCell ref="D22:D23"/>
    <mergeCell ref="E22:E23"/>
    <mergeCell ref="F22:F23"/>
    <mergeCell ref="F14:F15"/>
    <mergeCell ref="D16:D17"/>
  </mergeCells>
  <phoneticPr fontId="1"/>
  <pageMargins left="0.78740157480314965" right="0.78740157480314965" top="0.51181102362204722" bottom="0.51181102362204722" header="0.51181102362204722" footer="0.51181102362204722"/>
  <pageSetup paperSize="9" fitToHeight="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0000"/>
  </sheetPr>
  <dimension ref="A1:BT210"/>
  <sheetViews>
    <sheetView view="pageBreakPreview" zoomScale="90" zoomScaleNormal="85" zoomScaleSheetLayoutView="90" workbookViewId="0">
      <selection activeCell="K3" sqref="K3:L3"/>
    </sheetView>
  </sheetViews>
  <sheetFormatPr defaultColWidth="9" defaultRowHeight="13.5" outlineLevelRow="1" outlineLevelCol="1"/>
  <cols>
    <col min="1" max="1" width="10.75" style="146" customWidth="1"/>
    <col min="2" max="15" width="10.625" style="146" customWidth="1"/>
    <col min="16" max="16" width="53.125" style="387" customWidth="1"/>
    <col min="17" max="18" width="5.625" style="387" hidden="1" customWidth="1" outlineLevel="1"/>
    <col min="19" max="20" width="5.25" style="387" hidden="1" customWidth="1" outlineLevel="1"/>
    <col min="21" max="28" width="5.625" style="387" hidden="1" customWidth="1" outlineLevel="1"/>
    <col min="29" max="29" width="7" style="387" hidden="1" customWidth="1" outlineLevel="1"/>
    <col min="30" max="36" width="5.625" style="387" hidden="1" customWidth="1" outlineLevel="1"/>
    <col min="37" max="37" width="13.625" style="387" hidden="1" customWidth="1" outlineLevel="1"/>
    <col min="38" max="38" width="13.125" style="387" hidden="1" customWidth="1" outlineLevel="1"/>
    <col min="39" max="66" width="9" style="387" hidden="1" customWidth="1" outlineLevel="1"/>
    <col min="67" max="68" width="9" hidden="1" customWidth="1" outlineLevel="1"/>
    <col min="69" max="71" width="9" style="387" hidden="1" customWidth="1" outlineLevel="1"/>
    <col min="72" max="72" width="9" style="387" collapsed="1"/>
    <col min="73" max="16384" width="9" style="387"/>
  </cols>
  <sheetData>
    <row r="1" spans="1:72" s="386" customFormat="1" ht="15" customHeight="1" thickBot="1">
      <c r="A1" s="593" t="s">
        <v>409</v>
      </c>
      <c r="B1" s="594"/>
      <c r="C1" s="594"/>
      <c r="D1" s="594"/>
      <c r="E1" s="594"/>
      <c r="F1" s="594"/>
      <c r="G1" s="594"/>
      <c r="H1" s="594"/>
      <c r="I1" s="594"/>
      <c r="J1" s="1862" t="str">
        <f>Q2&amp;"様式5"&amp;Q3</f>
        <v>加-25_4月申-様式5-幼_Ver.4.00</v>
      </c>
      <c r="K1" s="1862"/>
      <c r="L1" s="1862"/>
      <c r="M1" s="1862"/>
      <c r="N1" s="1862"/>
      <c r="O1" s="1862"/>
      <c r="P1" s="382"/>
      <c r="Q1" s="221" t="s">
        <v>942</v>
      </c>
      <c r="AL1" s="554" t="s">
        <v>667</v>
      </c>
      <c r="AM1" s="554" t="s">
        <v>301</v>
      </c>
      <c r="AN1" s="557" t="s">
        <v>107</v>
      </c>
      <c r="AO1" s="2497" t="s">
        <v>132</v>
      </c>
      <c r="AP1" s="2497"/>
      <c r="AQ1" s="554"/>
      <c r="AR1" s="554" t="s">
        <v>160</v>
      </c>
      <c r="AS1" s="558" t="s">
        <v>720</v>
      </c>
      <c r="AT1" s="2470" t="s">
        <v>859</v>
      </c>
      <c r="AU1" s="2471"/>
      <c r="AV1" s="2471"/>
      <c r="AW1" s="2471"/>
      <c r="AX1" s="2471"/>
      <c r="AY1" s="2471"/>
      <c r="AZ1" s="2471"/>
      <c r="BA1" s="2471"/>
      <c r="BB1" s="2471"/>
      <c r="BC1" s="2471"/>
      <c r="BD1" s="2471"/>
      <c r="BE1" s="2471"/>
      <c r="BF1" s="2471"/>
      <c r="BG1" s="2471"/>
      <c r="BH1" s="2471"/>
      <c r="BI1" s="2471"/>
      <c r="BJ1" s="2471"/>
      <c r="BK1" s="2471"/>
      <c r="BL1" s="2471"/>
      <c r="BM1" s="2471"/>
      <c r="BN1" s="2471"/>
      <c r="BO1" s="2471"/>
      <c r="BP1" s="2471"/>
      <c r="BQ1" s="2471"/>
      <c r="BR1" s="2471"/>
      <c r="BS1" s="2472"/>
      <c r="BT1" s="385"/>
    </row>
    <row r="2" spans="1:72" s="386" customFormat="1" ht="15" customHeight="1" thickBot="1">
      <c r="A2" s="594"/>
      <c r="B2" s="594"/>
      <c r="C2" s="594"/>
      <c r="D2" s="594"/>
      <c r="E2" s="594"/>
      <c r="F2" s="594"/>
      <c r="G2" s="594"/>
      <c r="H2" s="594"/>
      <c r="I2" s="594"/>
      <c r="J2" s="594"/>
      <c r="K2" s="594"/>
      <c r="L2" s="598"/>
      <c r="M2" s="594"/>
      <c r="N2" s="598"/>
      <c r="O2" s="598"/>
      <c r="P2" s="382"/>
      <c r="Q2" s="221" t="str">
        <f>【様式１】総括表・個票!$AJ$2</f>
        <v>加-25_4月申-</v>
      </c>
      <c r="AL2" s="555" t="b">
        <f>AND(OR(AL3&gt;0,AL4&gt;0),ISNUMBER(AL3))</f>
        <v>0</v>
      </c>
      <c r="AM2" s="554">
        <f>【様式2】職員名簿!$F$5</f>
        <v>0</v>
      </c>
      <c r="AN2" s="557"/>
      <c r="AO2" s="554">
        <v>1</v>
      </c>
      <c r="AP2" s="554">
        <v>1</v>
      </c>
      <c r="AQ2" s="554"/>
      <c r="AR2" s="554"/>
      <c r="AS2" s="558" t="str">
        <f>【様式2】職員名簿!Y28</f>
        <v>施設長</v>
      </c>
      <c r="AT2" s="2119" t="s">
        <v>677</v>
      </c>
      <c r="AU2" s="2411"/>
      <c r="AV2" s="2411"/>
      <c r="AW2" s="2411"/>
      <c r="AX2" s="2411"/>
      <c r="AY2" s="2119" t="s">
        <v>721</v>
      </c>
      <c r="AZ2" s="2120"/>
      <c r="BA2" s="2121" t="s">
        <v>680</v>
      </c>
      <c r="BB2" s="2120"/>
      <c r="BC2" s="2119" t="s">
        <v>1153</v>
      </c>
      <c r="BD2" s="2120"/>
      <c r="BE2" s="2119" t="s">
        <v>681</v>
      </c>
      <c r="BF2" s="2120"/>
      <c r="BG2" s="2119" t="s">
        <v>685</v>
      </c>
      <c r="BH2" s="2120"/>
      <c r="BI2" s="2119" t="s">
        <v>682</v>
      </c>
      <c r="BJ2" s="2120"/>
      <c r="BK2" s="2119" t="s">
        <v>684</v>
      </c>
      <c r="BL2" s="2120"/>
      <c r="BM2" s="2119" t="s">
        <v>678</v>
      </c>
      <c r="BN2" s="2411"/>
      <c r="BO2" s="2121" t="s">
        <v>831</v>
      </c>
      <c r="BP2" s="2120"/>
      <c r="BQ2" s="2494" t="s">
        <v>754</v>
      </c>
      <c r="BR2" s="2495"/>
      <c r="BS2" s="2496"/>
    </row>
    <row r="3" spans="1:72" s="386" customFormat="1" ht="15" customHeight="1" thickTop="1" thickBot="1">
      <c r="A3" s="594"/>
      <c r="B3" s="2196" t="str">
        <f>【様式2】職員名簿!$A$2</f>
        <v>2025年度</v>
      </c>
      <c r="C3" s="2196"/>
      <c r="D3" s="2434" t="s">
        <v>464</v>
      </c>
      <c r="E3" s="2434"/>
      <c r="F3" s="2434"/>
      <c r="G3" s="2434"/>
      <c r="H3" s="2434"/>
      <c r="I3" s="2434"/>
      <c r="J3" s="2434"/>
      <c r="K3" s="2434" t="str">
        <f>+"【"&amp;【様式１】総括表・個票!I10&amp;"月分】"</f>
        <v>【4月分】</v>
      </c>
      <c r="L3" s="2434"/>
      <c r="M3" s="595"/>
      <c r="N3" s="595"/>
      <c r="O3" s="595"/>
      <c r="P3" s="384"/>
      <c r="Q3" s="221" t="str">
        <f>【様式１】総括表・個票!$AJ$3</f>
        <v>-幼_Ver.4.00</v>
      </c>
      <c r="AK3" s="395" t="s">
        <v>896</v>
      </c>
      <c r="AL3" s="556">
        <f>AM2/2</f>
        <v>0</v>
      </c>
      <c r="AN3" s="557" t="s">
        <v>119</v>
      </c>
      <c r="AO3" s="554">
        <v>46</v>
      </c>
      <c r="AP3" s="554">
        <v>2</v>
      </c>
      <c r="AQ3" s="554">
        <v>1</v>
      </c>
      <c r="AR3" s="554" t="str">
        <f t="shared" ref="AR3:AR15" si="0">IFERROR(IF(AND($O$36&gt;=0,AQ3&lt;=$J$34),AQ3,""),"")</f>
        <v/>
      </c>
      <c r="AS3" s="558" t="str">
        <f>【様式2】職員名簿!Y29</f>
        <v>副園長・教頭</v>
      </c>
      <c r="AT3" s="388"/>
      <c r="AU3" s="383"/>
      <c r="AV3" s="383"/>
      <c r="AW3" s="383" t="str">
        <f>AS3</f>
        <v>副園長・教頭</v>
      </c>
      <c r="AX3" s="392"/>
      <c r="AY3" s="388" t="str">
        <f>AS2</f>
        <v>施設長</v>
      </c>
      <c r="AZ3" s="2437" t="s">
        <v>713</v>
      </c>
      <c r="BA3" s="388" t="str">
        <f>AS4</f>
        <v>教諭（発令有）</v>
      </c>
      <c r="BB3" s="2437" t="s">
        <v>713</v>
      </c>
      <c r="BC3" s="388" t="str">
        <f>AS6</f>
        <v>栄養士等</v>
      </c>
      <c r="BD3" s="2437" t="s">
        <v>713</v>
      </c>
      <c r="BE3" s="388" t="str">
        <f>AS6</f>
        <v>栄養士等</v>
      </c>
      <c r="BF3" s="2437" t="s">
        <v>713</v>
      </c>
      <c r="BG3" s="388" t="s">
        <v>679</v>
      </c>
      <c r="BH3" s="2437" t="s">
        <v>713</v>
      </c>
      <c r="BI3" s="388" t="str">
        <f>AS8</f>
        <v>事務員</v>
      </c>
      <c r="BJ3" s="2437" t="s">
        <v>713</v>
      </c>
      <c r="BK3" s="388" t="str">
        <f>AS9</f>
        <v>学校医</v>
      </c>
      <c r="BL3" s="2437" t="s">
        <v>713</v>
      </c>
      <c r="BM3" s="388" t="s">
        <v>683</v>
      </c>
      <c r="BN3" s="2498" t="s">
        <v>713</v>
      </c>
      <c r="BO3" s="388" t="str">
        <f>$AS$3</f>
        <v>副園長・教頭</v>
      </c>
      <c r="BP3" s="2437" t="s">
        <v>713</v>
      </c>
      <c r="BQ3" s="393"/>
      <c r="BR3" s="394"/>
      <c r="BS3" s="391"/>
    </row>
    <row r="4" spans="1:72" s="386" customFormat="1" ht="15" customHeight="1" thickTop="1" thickBot="1">
      <c r="A4" s="593" t="s">
        <v>357</v>
      </c>
      <c r="B4" s="594"/>
      <c r="C4" s="596"/>
      <c r="D4" s="596"/>
      <c r="E4" s="596"/>
      <c r="F4" s="597"/>
      <c r="G4" s="597"/>
      <c r="H4" s="597"/>
      <c r="I4" s="597"/>
      <c r="J4" s="599"/>
      <c r="K4" s="597"/>
      <c r="L4" s="599"/>
      <c r="M4" s="594"/>
      <c r="N4" s="594"/>
      <c r="O4" s="594"/>
      <c r="AK4" s="395" t="s">
        <v>895</v>
      </c>
      <c r="AL4" s="556">
        <f>AM2/5*2</f>
        <v>0</v>
      </c>
      <c r="AN4" s="557" t="s">
        <v>130</v>
      </c>
      <c r="AO4" s="554">
        <v>151</v>
      </c>
      <c r="AP4" s="554">
        <v>3</v>
      </c>
      <c r="AQ4" s="554">
        <v>2</v>
      </c>
      <c r="AR4" s="554" t="str">
        <f t="shared" si="0"/>
        <v/>
      </c>
      <c r="AS4" s="558" t="str">
        <f>【様式2】職員名簿!Y30</f>
        <v>教諭（発令有）</v>
      </c>
      <c r="AT4" s="388"/>
      <c r="AU4" s="383"/>
      <c r="AV4" s="383"/>
      <c r="AW4" s="383" t="str">
        <f>AS4</f>
        <v>教諭（発令有）</v>
      </c>
      <c r="AX4" s="392"/>
      <c r="AY4" s="396"/>
      <c r="AZ4" s="2438"/>
      <c r="BA4" s="386" t="str">
        <f>AS3</f>
        <v>副園長・教頭</v>
      </c>
      <c r="BB4" s="2438"/>
      <c r="BD4" s="2438"/>
      <c r="BE4" s="388" t="str">
        <f>AS7</f>
        <v>調理員</v>
      </c>
      <c r="BF4" s="2438"/>
      <c r="BG4" s="388" t="str">
        <f>AS8</f>
        <v>事務員</v>
      </c>
      <c r="BH4" s="2438"/>
      <c r="BJ4" s="2438"/>
      <c r="BL4" s="2438"/>
      <c r="BN4" s="2499"/>
      <c r="BO4" s="516"/>
      <c r="BP4" s="2438"/>
      <c r="BQ4" s="393"/>
      <c r="BR4" s="394"/>
      <c r="BS4" s="391"/>
    </row>
    <row r="5" spans="1:72" s="386" customFormat="1" ht="15" customHeight="1" thickTop="1" thickBot="1">
      <c r="A5" s="594" t="s">
        <v>735</v>
      </c>
      <c r="B5" s="594"/>
      <c r="C5" s="594"/>
      <c r="D5" s="594"/>
      <c r="E5" s="594"/>
      <c r="F5" s="594"/>
      <c r="G5" s="594"/>
      <c r="H5" s="594"/>
      <c r="I5" s="594"/>
      <c r="J5" s="600"/>
      <c r="K5" s="594"/>
      <c r="L5" s="940"/>
      <c r="M5" s="594"/>
      <c r="N5" s="940"/>
      <c r="O5" s="940"/>
      <c r="P5" s="230"/>
      <c r="AO5" s="554">
        <v>241</v>
      </c>
      <c r="AP5" s="554">
        <v>3.5</v>
      </c>
      <c r="AQ5" s="554">
        <v>3</v>
      </c>
      <c r="AR5" s="554" t="str">
        <f t="shared" si="0"/>
        <v/>
      </c>
      <c r="AS5" s="558" t="str">
        <f>【様式2】職員名簿!Y31</f>
        <v>教諭（発令無）</v>
      </c>
      <c r="AT5" s="397"/>
      <c r="AU5" s="398"/>
      <c r="AV5" s="398"/>
      <c r="AW5" s="398"/>
      <c r="AX5" s="399"/>
      <c r="AY5" s="400"/>
      <c r="AZ5" s="2439"/>
      <c r="BA5" s="401"/>
      <c r="BB5" s="2439"/>
      <c r="BC5" s="401"/>
      <c r="BD5" s="2439"/>
      <c r="BF5" s="2439"/>
      <c r="BH5" s="2439"/>
      <c r="BI5" s="401"/>
      <c r="BJ5" s="2439"/>
      <c r="BK5" s="401"/>
      <c r="BL5" s="2439"/>
      <c r="BM5" s="401"/>
      <c r="BN5" s="2500"/>
      <c r="BO5" s="397"/>
      <c r="BP5" s="2439"/>
      <c r="BQ5" s="402"/>
      <c r="BR5" s="403"/>
      <c r="BS5" s="404"/>
    </row>
    <row r="6" spans="1:72" s="386" customFormat="1" ht="15" customHeight="1" thickTop="1" thickBot="1">
      <c r="A6" s="2116" t="s">
        <v>353</v>
      </c>
      <c r="B6" s="781" t="s">
        <v>0</v>
      </c>
      <c r="C6" s="2118" t="s">
        <v>692</v>
      </c>
      <c r="D6" s="2118"/>
      <c r="E6" s="2118"/>
      <c r="F6" s="2118"/>
      <c r="G6" s="2118"/>
      <c r="H6" s="356"/>
      <c r="I6" s="357" t="s">
        <v>125</v>
      </c>
      <c r="J6" s="594"/>
      <c r="K6" s="594"/>
      <c r="L6" s="594"/>
      <c r="M6" s="594"/>
      <c r="N6" s="594"/>
      <c r="O6" s="594"/>
      <c r="AO6" s="554">
        <v>271</v>
      </c>
      <c r="AP6" s="554">
        <v>5</v>
      </c>
      <c r="AQ6" s="554">
        <v>3.5</v>
      </c>
      <c r="AR6" s="554" t="str">
        <f t="shared" si="0"/>
        <v/>
      </c>
      <c r="AS6" s="558" t="str">
        <f>【様式2】職員名簿!Y32</f>
        <v>栄養士等</v>
      </c>
      <c r="AT6" s="405" t="s">
        <v>671</v>
      </c>
      <c r="AU6" s="406" t="s">
        <v>215</v>
      </c>
      <c r="AV6" s="406" t="s">
        <v>674</v>
      </c>
      <c r="AW6" s="406" t="s">
        <v>673</v>
      </c>
      <c r="AX6" s="407" t="s">
        <v>675</v>
      </c>
      <c r="AY6" s="408" t="s">
        <v>672</v>
      </c>
      <c r="AZ6" s="519" t="s">
        <v>627</v>
      </c>
      <c r="BA6" s="407" t="s">
        <v>672</v>
      </c>
      <c r="BB6" s="519" t="s">
        <v>204</v>
      </c>
      <c r="BC6" s="409" t="s">
        <v>672</v>
      </c>
      <c r="BD6" s="519" t="s">
        <v>1153</v>
      </c>
      <c r="BE6" s="405" t="s">
        <v>672</v>
      </c>
      <c r="BF6" s="519" t="s">
        <v>156</v>
      </c>
      <c r="BG6" s="405" t="s">
        <v>672</v>
      </c>
      <c r="BH6" s="519" t="s">
        <v>711</v>
      </c>
      <c r="BI6" s="405" t="s">
        <v>672</v>
      </c>
      <c r="BJ6" s="519" t="s">
        <v>631</v>
      </c>
      <c r="BK6" s="405" t="s">
        <v>672</v>
      </c>
      <c r="BL6" s="519" t="s">
        <v>684</v>
      </c>
      <c r="BM6" s="405" t="s">
        <v>672</v>
      </c>
      <c r="BN6" s="519" t="s">
        <v>865</v>
      </c>
      <c r="BO6" s="407" t="s">
        <v>672</v>
      </c>
      <c r="BP6" s="519" t="s">
        <v>831</v>
      </c>
      <c r="BQ6" s="504"/>
      <c r="BR6" s="519" t="s">
        <v>824</v>
      </c>
      <c r="BS6" s="505"/>
    </row>
    <row r="7" spans="1:72" s="386" customFormat="1" ht="15" customHeight="1" thickBot="1">
      <c r="A7" s="2117"/>
      <c r="B7" s="607" t="s">
        <v>887</v>
      </c>
      <c r="C7" s="606" t="s">
        <v>355</v>
      </c>
      <c r="D7" s="902" t="s">
        <v>889</v>
      </c>
      <c r="E7" s="903" t="s">
        <v>890</v>
      </c>
      <c r="F7" s="903" t="s">
        <v>891</v>
      </c>
      <c r="G7" s="904" t="s">
        <v>892</v>
      </c>
      <c r="H7" s="607" t="s">
        <v>12</v>
      </c>
      <c r="I7" s="358"/>
      <c r="J7" s="594"/>
      <c r="K7" s="594"/>
      <c r="L7" s="594"/>
      <c r="M7" s="594"/>
      <c r="N7" s="594"/>
      <c r="O7" s="594"/>
      <c r="AO7" s="554">
        <v>301</v>
      </c>
      <c r="AP7" s="554">
        <v>6</v>
      </c>
      <c r="AQ7" s="554">
        <v>4</v>
      </c>
      <c r="AR7" s="554" t="str">
        <f t="shared" si="0"/>
        <v/>
      </c>
      <c r="AS7" s="558" t="str">
        <f>【様式2】職員名簿!Y33</f>
        <v>調理員</v>
      </c>
      <c r="AT7" s="226">
        <v>0</v>
      </c>
      <c r="AU7" s="410"/>
      <c r="AV7" s="410"/>
      <c r="AW7" s="410"/>
      <c r="AX7" s="411"/>
      <c r="AY7" s="412"/>
      <c r="AZ7" s="413"/>
      <c r="BA7" s="411"/>
      <c r="BB7" s="413"/>
      <c r="BC7" s="414"/>
      <c r="BD7" s="413"/>
      <c r="BE7" s="226"/>
      <c r="BF7" s="413"/>
      <c r="BG7" s="226"/>
      <c r="BH7" s="413"/>
      <c r="BI7" s="226"/>
      <c r="BJ7" s="413"/>
      <c r="BK7" s="226"/>
      <c r="BL7" s="413"/>
      <c r="BM7" s="226"/>
      <c r="BN7" s="413"/>
      <c r="BO7" s="497"/>
      <c r="BP7" s="413"/>
      <c r="BQ7" s="501" t="str">
        <f>【様式2】職員名簿!C30</f>
        <v>教諭（発令有）</v>
      </c>
      <c r="BR7" s="508" t="str">
        <f>IFERROR(IF(BQ7=【様式2】職員名簿!$J30,【様式2】職員名簿!$B30,"×"),"×")</f>
        <v>×</v>
      </c>
      <c r="BS7" s="506">
        <f>【様式2】職員名簿!G30</f>
        <v>0</v>
      </c>
    </row>
    <row r="8" spans="1:72" s="386" customFormat="1" ht="15" customHeight="1">
      <c r="A8" s="2125" t="s">
        <v>888</v>
      </c>
      <c r="B8" s="2149">
        <f>+【様式１】総括表・個票!D14</f>
        <v>0</v>
      </c>
      <c r="C8" s="604" t="s">
        <v>354</v>
      </c>
      <c r="D8" s="905"/>
      <c r="E8" s="906"/>
      <c r="F8" s="906"/>
      <c r="G8" s="907"/>
      <c r="H8" s="602">
        <f>SUM(D8:G8)</f>
        <v>0</v>
      </c>
      <c r="I8" s="2298">
        <f>SUM(H8:H9)</f>
        <v>0</v>
      </c>
      <c r="J8" s="594"/>
      <c r="K8" s="594"/>
      <c r="L8" s="594"/>
      <c r="M8" s="594"/>
      <c r="N8" s="594"/>
      <c r="O8" s="594"/>
      <c r="AO8" s="554">
        <v>451</v>
      </c>
      <c r="AP8" s="554">
        <v>8</v>
      </c>
      <c r="AQ8" s="554">
        <v>4.5</v>
      </c>
      <c r="AR8" s="554" t="str">
        <f t="shared" si="0"/>
        <v/>
      </c>
      <c r="AS8" s="558" t="str">
        <f>【様式2】職員名簿!Y34</f>
        <v>事務員</v>
      </c>
      <c r="AT8" s="388">
        <f t="shared" ref="AT8:AT39" si="1">ROW()-ROW($AT$7)</f>
        <v>1</v>
      </c>
      <c r="AU8" s="383" t="str">
        <f>AT8&amp;" "&amp;IF(AW8&lt;&gt;"-",【様式2】職員名簿!B40&amp;"/"&amp;AV8&amp;"/"&amp;AW8,"")</f>
        <v xml:space="preserve">1 </v>
      </c>
      <c r="AV8" s="383">
        <f>【様式2】職員名簿!E40</f>
        <v>0</v>
      </c>
      <c r="AW8" s="383" t="str">
        <f>IF(【様式2】職員名簿!J40="エラー","-",IF(AND(【様式2】職員名簿!C40=$AW$3,【様式2】職員名簿!J40=$AW$4),$AW$3,【様式2】職員名簿!J40))</f>
        <v>-</v>
      </c>
      <c r="AX8" s="392">
        <f>IF($AV8="常勤",$AM$2,IF($AV8="非常勤",【様式2】職員名簿!G40,0))</f>
        <v>0</v>
      </c>
      <c r="AY8" s="415">
        <f>IF($AW8=AY$3,COUNTIF($AW$8:$AW8,AY$3),0)</f>
        <v>0</v>
      </c>
      <c r="AZ8" s="416" t="str">
        <f t="shared" ref="AZ8:AZ39" si="2">IFERROR(INDEX($AU$8:$AU$107,MATCH($AT8,AY$8:AY$107,0),1),"")</f>
        <v/>
      </c>
      <c r="BA8" s="388">
        <f>IF(OR($AW8=BA$3,$AW8=BA$4),COUNTIF($AW$8:$AW8,BA$3)+COUNTIF($AW$8:$AW8,BA$4),0)</f>
        <v>0</v>
      </c>
      <c r="BB8" s="416" t="str">
        <f t="shared" ref="BB8:BB39" si="3">IFERROR(INDEX($AU$8:$AU$107,MATCH($AT8,BA$8:BA$107,0),1),"")</f>
        <v/>
      </c>
      <c r="BC8" s="418">
        <f>IF($AW8=BC$3,COUNTIF($AW$8:$AW8,BC$3),0)</f>
        <v>0</v>
      </c>
      <c r="BD8" s="416" t="str">
        <f t="shared" ref="BD8:BD39" si="4">IFERROR(INDEX($AU$8:$AU$107,MATCH($AT8,BC$8:BC$107,0),1),"")</f>
        <v/>
      </c>
      <c r="BE8" s="388">
        <f>IF(OR($AW8=BE$3,$AW8=BE$4),COUNTIF($AW$8:$AW8,BE$3)+COUNTIF($AW$8:$AW8,BE$4),0)</f>
        <v>0</v>
      </c>
      <c r="BF8" s="416" t="str">
        <f t="shared" ref="BF8:BF39" si="5">IFERROR(INDEX($AU$8:$AU$107,MATCH($AT8,BE$8:BE$107,0),1),"")</f>
        <v/>
      </c>
      <c r="BG8" s="388">
        <f>IF($AW8=BG$4,COUNTIFS($AV$8:$AV8,BG$3,$AW$8:$AW8,BG$4),0)</f>
        <v>0</v>
      </c>
      <c r="BH8" s="416" t="str">
        <f t="shared" ref="BH8:BH39" si="6">IFERROR(INDEX($AU$8:$AU$107,MATCH($AT8,BG$8:BG$107,0),1),"")</f>
        <v/>
      </c>
      <c r="BI8" s="388">
        <f>IF($AW8=BI$3,COUNTIF($AW$8:$AW8,BI$3),0)</f>
        <v>0</v>
      </c>
      <c r="BJ8" s="416" t="str">
        <f t="shared" ref="BJ8:BJ39" si="7">IFERROR(INDEX($AU$8:$AU$107,MATCH($AT8,BI$8:BI$107,0),1),"")</f>
        <v/>
      </c>
      <c r="BK8" s="388">
        <f>IF($AW8=BK$3,COUNTIF($AW$8:$AW8,BK$3),0)</f>
        <v>0</v>
      </c>
      <c r="BL8" s="416" t="str">
        <f t="shared" ref="BL8:BL39" si="8">IFERROR(INDEX($AU$8:$AU$107,MATCH($AT8,BK$8:BK$107,0),1),"")</f>
        <v/>
      </c>
      <c r="BM8" s="388">
        <f>IF($AW8&lt;&gt;BM$3,COUNTIF($AW$8:$AW8,"&lt;&gt;"&amp;BM$3),0)</f>
        <v>0</v>
      </c>
      <c r="BN8" s="416" t="str">
        <f t="shared" ref="BN8:BN39" si="9">IFERROR(INDEX($AU$8:$AU$107,MATCH($AT8,BM$8:BM$107,0),1),"")</f>
        <v/>
      </c>
      <c r="BO8" s="388">
        <f>IF($AW8=BO$3,COUNTIF($AW$8:$AW8,BO$3),0)</f>
        <v>0</v>
      </c>
      <c r="BP8" s="416" t="str">
        <f t="shared" ref="BP8:BP39" si="10">IFERROR(INDEX($AU$8:$AU$107,MATCH($AT8,BO$8:BO$107,0),1),"")</f>
        <v/>
      </c>
      <c r="BQ8" s="417" t="str">
        <f>【様式2】職員名簿!C31</f>
        <v>栄養士等（委託）</v>
      </c>
      <c r="BR8" s="416" t="str">
        <f>IFERROR(IF(BQ8=【様式2】職員名簿!$J31,【様式2】職員名簿!$B31,"×"),"×")</f>
        <v>×</v>
      </c>
      <c r="BS8" s="507">
        <f>【様式2】職員名簿!G31</f>
        <v>0</v>
      </c>
    </row>
    <row r="9" spans="1:72" s="386" customFormat="1" ht="15" customHeight="1">
      <c r="A9" s="2125"/>
      <c r="B9" s="2149"/>
      <c r="C9" s="605" t="s">
        <v>356</v>
      </c>
      <c r="D9" s="908"/>
      <c r="E9" s="909"/>
      <c r="F9" s="909"/>
      <c r="G9" s="910"/>
      <c r="H9" s="603">
        <f>SUM(D9:G9)</f>
        <v>0</v>
      </c>
      <c r="I9" s="2298"/>
      <c r="J9" s="594"/>
      <c r="K9" s="594"/>
      <c r="L9" s="594"/>
      <c r="M9" s="594"/>
      <c r="N9" s="594"/>
      <c r="O9" s="594"/>
      <c r="AQ9" s="554">
        <v>5</v>
      </c>
      <c r="AR9" s="554" t="str">
        <f t="shared" si="0"/>
        <v/>
      </c>
      <c r="AS9" s="558" t="str">
        <f>【様式2】職員名簿!Y35</f>
        <v>学校医</v>
      </c>
      <c r="AT9" s="388">
        <f t="shared" si="1"/>
        <v>2</v>
      </c>
      <c r="AU9" s="1081" t="str">
        <f>AT9&amp;" "&amp;IF(AW9&lt;&gt;"-",【様式2】職員名簿!B41&amp;"/"&amp;AV9&amp;"/"&amp;AW9,"")</f>
        <v xml:space="preserve">2 </v>
      </c>
      <c r="AV9" s="1081">
        <f>【様式2】職員名簿!E41</f>
        <v>0</v>
      </c>
      <c r="AW9" s="1081" t="str">
        <f>IF(【様式2】職員名簿!J41="エラー","-",IF(AND(【様式2】職員名簿!C41=$AW$3,【様式2】職員名簿!J41=$AW$4),$AW$3,【様式2】職員名簿!J41))</f>
        <v>-</v>
      </c>
      <c r="AX9" s="392">
        <f>IF($AV9="常勤",$AM$2,IF($AV9="非常勤",【様式2】職員名簿!G41,0))</f>
        <v>0</v>
      </c>
      <c r="AY9" s="415">
        <f>IF($AW9=AY$3,COUNTIF($AW$8:$AW9,AY$3),0)</f>
        <v>0</v>
      </c>
      <c r="AZ9" s="416" t="str">
        <f t="shared" si="2"/>
        <v/>
      </c>
      <c r="BA9" s="388">
        <f>IF(OR($AW9=BA$3,$AW9=BA$4),COUNTIF($AW$8:$AW9,BA$3)+COUNTIF($AW$8:$AW9,BA$4),0)</f>
        <v>0</v>
      </c>
      <c r="BB9" s="416" t="str">
        <f t="shared" si="3"/>
        <v/>
      </c>
      <c r="BC9" s="418">
        <f>IF($AW9=BC$3,COUNTIF($AW$8:$AW9,BC$3),0)</f>
        <v>0</v>
      </c>
      <c r="BD9" s="416" t="str">
        <f t="shared" si="4"/>
        <v/>
      </c>
      <c r="BE9" s="388">
        <f>IF(OR($AW9=BE$3,$AW9=BE$4),COUNTIF($AW$8:$AW9,BE$3)+COUNTIF($AW$8:$AW9,BE$4),0)</f>
        <v>0</v>
      </c>
      <c r="BF9" s="416" t="str">
        <f t="shared" si="5"/>
        <v/>
      </c>
      <c r="BG9" s="388">
        <f>IF($AW9=BG$4,COUNTIFS($AV$8:$AV9,BG$3,$AW$8:$AW9,BG$4),0)</f>
        <v>0</v>
      </c>
      <c r="BH9" s="416" t="str">
        <f t="shared" si="6"/>
        <v/>
      </c>
      <c r="BI9" s="388">
        <f>IF($AW9=BI$3,COUNTIF($AW$8:$AW9,BI$3),0)</f>
        <v>0</v>
      </c>
      <c r="BJ9" s="416" t="str">
        <f t="shared" si="7"/>
        <v/>
      </c>
      <c r="BK9" s="388">
        <f>IF($AW9=BK$3,COUNTIF($AW$8:$AW9,BK$3),0)</f>
        <v>0</v>
      </c>
      <c r="BL9" s="416" t="str">
        <f t="shared" si="8"/>
        <v/>
      </c>
      <c r="BM9" s="388">
        <f>IF($AW9&lt;&gt;BM$3,COUNTIF($AW$8:$AW9,"&lt;&gt;"&amp;BM$3),0)</f>
        <v>0</v>
      </c>
      <c r="BN9" s="416" t="str">
        <f t="shared" si="9"/>
        <v/>
      </c>
      <c r="BO9" s="388">
        <f>IF($AW9=BO$3,COUNTIF($AW$8:$AW9,BO$3),0)</f>
        <v>0</v>
      </c>
      <c r="BP9" s="416" t="str">
        <f t="shared" si="10"/>
        <v/>
      </c>
      <c r="BQ9" s="417" t="str">
        <f>【様式2】職員名簿!C32</f>
        <v>調理員（委託）</v>
      </c>
      <c r="BR9" s="416" t="str">
        <f>IFERROR(IF(BQ9=【様式2】職員名簿!$J32,【様式2】職員名簿!$B32,"×"),"×")</f>
        <v>×</v>
      </c>
      <c r="BS9" s="507">
        <f>【様式2】職員名簿!G32</f>
        <v>0</v>
      </c>
    </row>
    <row r="10" spans="1:72" s="386" customFormat="1" ht="15" customHeight="1">
      <c r="A10" s="954" t="s">
        <v>358</v>
      </c>
      <c r="B10" s="354">
        <f>SUM(B8:B9)</f>
        <v>0</v>
      </c>
      <c r="C10" s="939" t="s">
        <v>722</v>
      </c>
      <c r="D10" s="911">
        <f>SUM(D8:D9)</f>
        <v>0</v>
      </c>
      <c r="E10" s="912">
        <f t="shared" ref="E10" si="11">SUM(E8:E9)</f>
        <v>0</v>
      </c>
      <c r="F10" s="912">
        <f>SUM(F8:F9)</f>
        <v>0</v>
      </c>
      <c r="G10" s="913">
        <f>SUM(G8:G9)</f>
        <v>0</v>
      </c>
      <c r="H10" s="355">
        <f>SUM(H8:H9)</f>
        <v>0</v>
      </c>
      <c r="I10" s="355">
        <f>SUM(I8:I9)</f>
        <v>0</v>
      </c>
      <c r="J10" s="594"/>
      <c r="K10" s="594"/>
      <c r="L10" s="594"/>
      <c r="M10" s="594"/>
      <c r="N10" s="594"/>
      <c r="O10" s="594"/>
      <c r="AO10" s="1107">
        <v>2.5</v>
      </c>
      <c r="AP10" s="1107">
        <v>3</v>
      </c>
      <c r="AQ10" s="554">
        <v>5.5</v>
      </c>
      <c r="AR10" s="554" t="str">
        <f t="shared" si="0"/>
        <v/>
      </c>
      <c r="AS10" s="558" t="str">
        <f>【様式2】職員名簿!Y36</f>
        <v>その他</v>
      </c>
      <c r="AT10" s="388">
        <f t="shared" si="1"/>
        <v>3</v>
      </c>
      <c r="AU10" s="1081" t="str">
        <f>AT10&amp;" "&amp;IF(AW10&lt;&gt;"-",【様式2】職員名簿!B42&amp;"/"&amp;AV10&amp;"/"&amp;AW10,"")</f>
        <v xml:space="preserve">3 </v>
      </c>
      <c r="AV10" s="1081">
        <f>【様式2】職員名簿!E42</f>
        <v>0</v>
      </c>
      <c r="AW10" s="1081" t="str">
        <f>IF(【様式2】職員名簿!J42="エラー","-",IF(AND(【様式2】職員名簿!C42=$AW$3,【様式2】職員名簿!J42=$AW$4),$AW$3,【様式2】職員名簿!J42))</f>
        <v>-</v>
      </c>
      <c r="AX10" s="392">
        <f>IF($AV10="常勤",$AM$2,IF($AV10="非常勤",【様式2】職員名簿!G42,0))</f>
        <v>0</v>
      </c>
      <c r="AY10" s="415">
        <f>IF($AW10=AY$3,COUNTIF($AW$8:$AW10,AY$3),0)</f>
        <v>0</v>
      </c>
      <c r="AZ10" s="416" t="str">
        <f t="shared" si="2"/>
        <v/>
      </c>
      <c r="BA10" s="388">
        <f>IF(OR($AW10=BA$3,$AW10=BA$4),COUNTIF($AW$8:$AW10,BA$3)+COUNTIF($AW$8:$AW10,BA$4),0)</f>
        <v>0</v>
      </c>
      <c r="BB10" s="416" t="str">
        <f t="shared" si="3"/>
        <v/>
      </c>
      <c r="BC10" s="418">
        <f>IF($AW10=BC$3,COUNTIF($AW$8:$AW10,BC$3),0)</f>
        <v>0</v>
      </c>
      <c r="BD10" s="416" t="str">
        <f t="shared" si="4"/>
        <v/>
      </c>
      <c r="BE10" s="388">
        <f>IF(OR($AW10=BE$3,$AW10=BE$4),COUNTIF($AW$8:$AW10,BE$3)+COUNTIF($AW$8:$AW10,BE$4),0)</f>
        <v>0</v>
      </c>
      <c r="BF10" s="416" t="str">
        <f t="shared" si="5"/>
        <v/>
      </c>
      <c r="BG10" s="388">
        <f>IF($AW10=BG$4,COUNTIFS($AV$8:$AV10,BG$3,$AW$8:$AW10,BG$4),0)</f>
        <v>0</v>
      </c>
      <c r="BH10" s="416" t="str">
        <f t="shared" si="6"/>
        <v/>
      </c>
      <c r="BI10" s="388">
        <f>IF($AW10=BI$3,COUNTIF($AW$8:$AW10,BI$3),0)</f>
        <v>0</v>
      </c>
      <c r="BJ10" s="416" t="str">
        <f t="shared" si="7"/>
        <v/>
      </c>
      <c r="BK10" s="388">
        <f>IF($AW10=BK$3,COUNTIF($AW$8:$AW10,BK$3),0)</f>
        <v>0</v>
      </c>
      <c r="BL10" s="416" t="str">
        <f t="shared" si="8"/>
        <v/>
      </c>
      <c r="BM10" s="388">
        <f>IF($AW10&lt;&gt;BM$3,COUNTIF($AW$8:$AW10,"&lt;&gt;"&amp;BM$3),0)</f>
        <v>0</v>
      </c>
      <c r="BN10" s="416" t="str">
        <f t="shared" si="9"/>
        <v/>
      </c>
      <c r="BO10" s="388">
        <f>IF($AW10=BO$3,COUNTIF($AW$8:$AW10,BO$3),0)</f>
        <v>0</v>
      </c>
      <c r="BP10" s="416" t="str">
        <f t="shared" si="10"/>
        <v/>
      </c>
      <c r="BQ10" s="417" t="str">
        <f>【様式2】職員名簿!C33</f>
        <v>事務員（委託）</v>
      </c>
      <c r="BR10" s="416" t="str">
        <f>IFERROR(IF(BQ10=【様式2】職員名簿!$J33,【様式2】職員名簿!$B33,"×"),"×")</f>
        <v>×</v>
      </c>
      <c r="BS10" s="507">
        <f>【様式2】職員名簿!G33</f>
        <v>0</v>
      </c>
    </row>
    <row r="11" spans="1:72" s="386" customFormat="1" ht="15" customHeight="1" thickBot="1">
      <c r="A11" s="594"/>
      <c r="B11" s="594"/>
      <c r="C11" s="594"/>
      <c r="D11" s="594"/>
      <c r="E11" s="594"/>
      <c r="F11" s="594"/>
      <c r="G11" s="594"/>
      <c r="H11" s="594"/>
      <c r="I11" s="594"/>
      <c r="J11" s="594"/>
      <c r="K11" s="594"/>
      <c r="L11" s="600"/>
      <c r="M11" s="594"/>
      <c r="N11" s="600"/>
      <c r="O11" s="940"/>
      <c r="P11" s="230"/>
      <c r="Q11" s="229"/>
      <c r="R11" s="229"/>
      <c r="S11" s="229"/>
      <c r="T11" s="229"/>
      <c r="U11" s="229"/>
      <c r="V11" s="229"/>
      <c r="W11" s="229"/>
      <c r="X11" s="229"/>
      <c r="Y11" s="229"/>
      <c r="Z11" s="229"/>
      <c r="AA11" s="229"/>
      <c r="AB11" s="229"/>
      <c r="AC11" s="229"/>
      <c r="AD11" s="229"/>
      <c r="AE11" s="229"/>
      <c r="AF11" s="229"/>
      <c r="AG11" s="229"/>
      <c r="AH11" s="229"/>
      <c r="AI11" s="229"/>
      <c r="AJ11" s="229"/>
      <c r="AO11" s="1107">
        <v>3.3</v>
      </c>
      <c r="AP11" s="1107">
        <v>3.5</v>
      </c>
      <c r="AQ11" s="554">
        <v>6</v>
      </c>
      <c r="AR11" s="554" t="str">
        <f t="shared" si="0"/>
        <v/>
      </c>
      <c r="AT11" s="388">
        <f t="shared" si="1"/>
        <v>4</v>
      </c>
      <c r="AU11" s="1081" t="str">
        <f>AT11&amp;" "&amp;IF(AW11&lt;&gt;"-",【様式2】職員名簿!B43&amp;"/"&amp;AV11&amp;"/"&amp;AW11,"")</f>
        <v xml:space="preserve">4 </v>
      </c>
      <c r="AV11" s="1081">
        <f>【様式2】職員名簿!E43</f>
        <v>0</v>
      </c>
      <c r="AW11" s="1081" t="str">
        <f>IF(【様式2】職員名簿!J43="エラー","-",IF(AND(【様式2】職員名簿!C43=$AW$3,【様式2】職員名簿!J43=$AW$4),$AW$3,【様式2】職員名簿!J43))</f>
        <v>-</v>
      </c>
      <c r="AX11" s="392">
        <f>IF($AV11="常勤",$AM$2,IF($AV11="非常勤",【様式2】職員名簿!G43,0))</f>
        <v>0</v>
      </c>
      <c r="AY11" s="415">
        <f>IF($AW11=AY$3,COUNTIF($AW$8:$AW11,AY$3),0)</f>
        <v>0</v>
      </c>
      <c r="AZ11" s="416" t="str">
        <f t="shared" si="2"/>
        <v/>
      </c>
      <c r="BA11" s="388">
        <f>IF(OR($AW11=BA$3,$AW11=BA$4),COUNTIF($AW$8:$AW11,BA$3)+COUNTIF($AW$8:$AW11,BA$4),0)</f>
        <v>0</v>
      </c>
      <c r="BB11" s="416" t="str">
        <f t="shared" si="3"/>
        <v/>
      </c>
      <c r="BC11" s="418">
        <f>IF($AW11=BC$3,COUNTIF($AW$8:$AW11,BC$3),0)</f>
        <v>0</v>
      </c>
      <c r="BD11" s="416" t="str">
        <f t="shared" si="4"/>
        <v/>
      </c>
      <c r="BE11" s="388">
        <f>IF(OR($AW11=BE$3,$AW11=BE$4),COUNTIF($AW$8:$AW11,BE$3)+COUNTIF($AW$8:$AW11,BE$4),0)</f>
        <v>0</v>
      </c>
      <c r="BF11" s="416" t="str">
        <f t="shared" si="5"/>
        <v/>
      </c>
      <c r="BG11" s="388">
        <f>IF($AW11=BG$4,COUNTIFS($AV$8:$AV11,BG$3,$AW$8:$AW11,BG$4),0)</f>
        <v>0</v>
      </c>
      <c r="BH11" s="416" t="str">
        <f t="shared" si="6"/>
        <v/>
      </c>
      <c r="BI11" s="388">
        <f>IF($AW11=BI$3,COUNTIF($AW$8:$AW11,BI$3),0)</f>
        <v>0</v>
      </c>
      <c r="BJ11" s="416" t="str">
        <f t="shared" si="7"/>
        <v/>
      </c>
      <c r="BK11" s="388">
        <f>IF($AW11=BK$3,COUNTIF($AW$8:$AW11,BK$3),0)</f>
        <v>0</v>
      </c>
      <c r="BL11" s="416" t="str">
        <f t="shared" si="8"/>
        <v/>
      </c>
      <c r="BM11" s="388">
        <f>IF($AW11&lt;&gt;BM$3,COUNTIF($AW$8:$AW11,"&lt;&gt;"&amp;BM$3),0)</f>
        <v>0</v>
      </c>
      <c r="BN11" s="416" t="str">
        <f t="shared" si="9"/>
        <v/>
      </c>
      <c r="BO11" s="388">
        <f>IF($AW11=BO$3,COUNTIF($AW$8:$AW11,BO$3),0)</f>
        <v>0</v>
      </c>
      <c r="BP11" s="416" t="str">
        <f t="shared" si="10"/>
        <v/>
      </c>
      <c r="BQ11" s="417" t="str">
        <f>【様式2】職員名簿!C34</f>
        <v>その他（委託）</v>
      </c>
      <c r="BR11" s="429" t="str">
        <f>IFERROR(IF(BQ11=【様式2】職員名簿!$J34,【様式2】職員名簿!$B34,"×"),"×")</f>
        <v>×</v>
      </c>
      <c r="BS11" s="507">
        <f>【様式2】職員名簿!G34</f>
        <v>0</v>
      </c>
    </row>
    <row r="12" spans="1:72" s="386" customFormat="1" ht="15" customHeight="1" thickTop="1" thickBot="1">
      <c r="A12" s="593" t="s">
        <v>686</v>
      </c>
      <c r="B12" s="594"/>
      <c r="C12" s="601"/>
      <c r="D12" s="601"/>
      <c r="E12" s="601"/>
      <c r="F12" s="601"/>
      <c r="G12" s="601"/>
      <c r="H12" s="601"/>
      <c r="I12" s="601"/>
      <c r="J12" s="601"/>
      <c r="K12" s="594"/>
      <c r="L12" s="601"/>
      <c r="M12" s="940"/>
      <c r="N12" s="601"/>
      <c r="O12" s="601"/>
      <c r="P12" s="387"/>
      <c r="Q12" s="842"/>
      <c r="R12" s="842"/>
      <c r="S12" s="842"/>
      <c r="T12" s="842"/>
      <c r="U12" s="578"/>
      <c r="V12" s="578"/>
      <c r="W12" s="578"/>
      <c r="X12" s="578"/>
      <c r="Y12" s="578"/>
      <c r="Z12" s="578"/>
      <c r="AA12" s="578"/>
      <c r="AB12" s="578"/>
      <c r="AC12" s="578"/>
      <c r="AD12" s="578"/>
      <c r="AE12" s="578"/>
      <c r="AF12" s="578"/>
      <c r="AG12" s="578"/>
      <c r="AH12" s="578"/>
      <c r="AI12" s="578"/>
      <c r="AJ12" s="578"/>
      <c r="AK12" s="387"/>
      <c r="AL12" s="387"/>
      <c r="AO12" s="1107">
        <v>3.5</v>
      </c>
      <c r="AP12" s="1107">
        <v>4</v>
      </c>
      <c r="AQ12" s="554">
        <v>6.5</v>
      </c>
      <c r="AR12" s="554" t="str">
        <f t="shared" si="0"/>
        <v/>
      </c>
      <c r="AT12" s="388">
        <f t="shared" si="1"/>
        <v>5</v>
      </c>
      <c r="AU12" s="1081" t="str">
        <f>AT12&amp;" "&amp;IF(AW12&lt;&gt;"-",【様式2】職員名簿!B44&amp;"/"&amp;AV12&amp;"/"&amp;AW12,"")</f>
        <v xml:space="preserve">5 </v>
      </c>
      <c r="AV12" s="1081">
        <f>【様式2】職員名簿!E44</f>
        <v>0</v>
      </c>
      <c r="AW12" s="1081" t="str">
        <f>IF(【様式2】職員名簿!J44="エラー","-",IF(AND(【様式2】職員名簿!C44=$AW$3,【様式2】職員名簿!J44=$AW$4),$AW$3,【様式2】職員名簿!J44))</f>
        <v>-</v>
      </c>
      <c r="AX12" s="392">
        <f>IF($AV12="常勤",$AM$2,IF($AV12="非常勤",【様式2】職員名簿!G44,0))</f>
        <v>0</v>
      </c>
      <c r="AY12" s="415">
        <f>IF($AW12=AY$3,COUNTIF($AW$8:$AW12,AY$3),0)</f>
        <v>0</v>
      </c>
      <c r="AZ12" s="416" t="str">
        <f t="shared" si="2"/>
        <v/>
      </c>
      <c r="BA12" s="388">
        <f>IF(OR($AW12=BA$3,$AW12=BA$4),COUNTIF($AW$8:$AW12,BA$3)+COUNTIF($AW$8:$AW12,BA$4),0)</f>
        <v>0</v>
      </c>
      <c r="BB12" s="416" t="str">
        <f t="shared" si="3"/>
        <v/>
      </c>
      <c r="BC12" s="418">
        <f>IF($AW12=BC$3,COUNTIF($AW$8:$AW12,BC$3),0)</f>
        <v>0</v>
      </c>
      <c r="BD12" s="416" t="str">
        <f t="shared" si="4"/>
        <v/>
      </c>
      <c r="BE12" s="388">
        <f>IF(OR($AW12=BE$3,$AW12=BE$4),COUNTIF($AW$8:$AW12,BE$3)+COUNTIF($AW$8:$AW12,BE$4),0)</f>
        <v>0</v>
      </c>
      <c r="BF12" s="416" t="str">
        <f t="shared" si="5"/>
        <v/>
      </c>
      <c r="BG12" s="388">
        <f>IF($AW12=BG$4,COUNTIFS($AV$8:$AV12,BG$3,$AW$8:$AW12,BG$4),0)</f>
        <v>0</v>
      </c>
      <c r="BH12" s="416" t="str">
        <f t="shared" si="6"/>
        <v/>
      </c>
      <c r="BI12" s="388">
        <f>IF($AW12=BI$3,COUNTIF($AW$8:$AW12,BI$3),0)</f>
        <v>0</v>
      </c>
      <c r="BJ12" s="416" t="str">
        <f t="shared" si="7"/>
        <v/>
      </c>
      <c r="BK12" s="388">
        <f>IF($AW12=BK$3,COUNTIF($AW$8:$AW12,BK$3),0)</f>
        <v>0</v>
      </c>
      <c r="BL12" s="416" t="str">
        <f t="shared" si="8"/>
        <v/>
      </c>
      <c r="BM12" s="388">
        <f>IF($AW12&lt;&gt;BM$3,COUNTIF($AW$8:$AW12,"&lt;&gt;"&amp;BM$3),0)</f>
        <v>0</v>
      </c>
      <c r="BN12" s="416" t="str">
        <f t="shared" si="9"/>
        <v/>
      </c>
      <c r="BO12" s="388">
        <f>IF($AW12=BO$3,COUNTIF($AW$8:$AW12,BO$3),0)</f>
        <v>0</v>
      </c>
      <c r="BP12" s="416" t="str">
        <f t="shared" si="10"/>
        <v/>
      </c>
      <c r="BQ12" s="381"/>
      <c r="BR12" s="381"/>
    </row>
    <row r="13" spans="1:72" s="386" customFormat="1" ht="15" customHeight="1">
      <c r="A13" s="2197" t="s">
        <v>131</v>
      </c>
      <c r="B13" s="2198"/>
      <c r="C13" s="2199"/>
      <c r="D13" s="2290" t="s">
        <v>975</v>
      </c>
      <c r="E13" s="2291"/>
      <c r="F13" s="2291"/>
      <c r="G13" s="2291"/>
      <c r="H13" s="2291"/>
      <c r="I13" s="2291"/>
      <c r="J13" s="2291"/>
      <c r="K13" s="2291"/>
      <c r="L13" s="2291"/>
      <c r="M13" s="2292"/>
      <c r="N13" s="2296" t="s">
        <v>798</v>
      </c>
      <c r="O13" s="2297"/>
      <c r="P13" s="230"/>
      <c r="Q13" s="2272" t="s">
        <v>688</v>
      </c>
      <c r="R13" s="2287"/>
      <c r="S13" s="2423" t="s">
        <v>120</v>
      </c>
      <c r="T13" s="2423" t="s">
        <v>712</v>
      </c>
      <c r="U13" s="2440" t="s">
        <v>702</v>
      </c>
      <c r="V13" s="2272" t="s">
        <v>819</v>
      </c>
      <c r="W13" s="2273"/>
      <c r="X13" s="2273"/>
      <c r="Y13" s="2273"/>
      <c r="Z13" s="2273"/>
      <c r="AA13" s="2273"/>
      <c r="AB13" s="2273"/>
      <c r="AC13" s="2273"/>
      <c r="AD13" s="2273"/>
      <c r="AE13" s="2287"/>
      <c r="AF13" s="2272" t="s">
        <v>689</v>
      </c>
      <c r="AG13" s="2273"/>
      <c r="AH13" s="2146" t="s">
        <v>835</v>
      </c>
      <c r="AI13" s="2147"/>
      <c r="AJ13" s="2148"/>
      <c r="AK13" s="387"/>
      <c r="AL13" s="387"/>
      <c r="AO13" s="1107">
        <v>4.3</v>
      </c>
      <c r="AP13" s="1107">
        <v>4.5</v>
      </c>
      <c r="AQ13" s="554">
        <v>7</v>
      </c>
      <c r="AR13" s="554" t="str">
        <f t="shared" si="0"/>
        <v/>
      </c>
      <c r="AT13" s="388">
        <f t="shared" si="1"/>
        <v>6</v>
      </c>
      <c r="AU13" s="1081" t="str">
        <f>AT13&amp;" "&amp;IF(AW13&lt;&gt;"-",【様式2】職員名簿!B45&amp;"/"&amp;AV13&amp;"/"&amp;AW13,"")</f>
        <v xml:space="preserve">6 </v>
      </c>
      <c r="AV13" s="1081">
        <f>【様式2】職員名簿!E45</f>
        <v>0</v>
      </c>
      <c r="AW13" s="1081" t="str">
        <f>IF(【様式2】職員名簿!J45="エラー","-",IF(AND(【様式2】職員名簿!C45=$AW$3,【様式2】職員名簿!J45=$AW$4),$AW$3,【様式2】職員名簿!J45))</f>
        <v>-</v>
      </c>
      <c r="AX13" s="392">
        <f>IF($AV13="常勤",$AM$2,IF($AV13="非常勤",【様式2】職員名簿!G45,0))</f>
        <v>0</v>
      </c>
      <c r="AY13" s="415">
        <f>IF($AW13=AY$3,COUNTIF($AW$8:$AW13,AY$3),0)</f>
        <v>0</v>
      </c>
      <c r="AZ13" s="416" t="str">
        <f t="shared" si="2"/>
        <v/>
      </c>
      <c r="BA13" s="388">
        <f>IF(OR($AW13=BA$3,$AW13=BA$4),COUNTIF($AW$8:$AW13,BA$3)+COUNTIF($AW$8:$AW13,BA$4),0)</f>
        <v>0</v>
      </c>
      <c r="BB13" s="416" t="str">
        <f t="shared" si="3"/>
        <v/>
      </c>
      <c r="BC13" s="418">
        <f>IF($AW13=BC$3,COUNTIF($AW$8:$AW13,BC$3),0)</f>
        <v>0</v>
      </c>
      <c r="BD13" s="416" t="str">
        <f t="shared" si="4"/>
        <v/>
      </c>
      <c r="BE13" s="388">
        <f>IF(OR($AW13=BE$3,$AW13=BE$4),COUNTIF($AW$8:$AW13,BE$3)+COUNTIF($AW$8:$AW13,BE$4),0)</f>
        <v>0</v>
      </c>
      <c r="BF13" s="416" t="str">
        <f t="shared" si="5"/>
        <v/>
      </c>
      <c r="BG13" s="388">
        <f>IF($AW13=BG$4,COUNTIFS($AV$8:$AV13,BG$3,$AW$8:$AW13,BG$4),0)</f>
        <v>0</v>
      </c>
      <c r="BH13" s="416" t="str">
        <f t="shared" si="6"/>
        <v/>
      </c>
      <c r="BI13" s="388">
        <f>IF($AW13=BI$3,COUNTIF($AW$8:$AW13,BI$3),0)</f>
        <v>0</v>
      </c>
      <c r="BJ13" s="416" t="str">
        <f t="shared" si="7"/>
        <v/>
      </c>
      <c r="BK13" s="388">
        <f>IF($AW13=BK$3,COUNTIF($AW$8:$AW13,BK$3),0)</f>
        <v>0</v>
      </c>
      <c r="BL13" s="416" t="str">
        <f t="shared" si="8"/>
        <v/>
      </c>
      <c r="BM13" s="388">
        <f>IF($AW13&lt;&gt;BM$3,COUNTIF($AW$8:$AW13,"&lt;&gt;"&amp;BM$3),0)</f>
        <v>0</v>
      </c>
      <c r="BN13" s="416" t="str">
        <f t="shared" si="9"/>
        <v/>
      </c>
      <c r="BO13" s="388">
        <f>IF($AW13=BO$3,COUNTIF($AW$8:$AW13,BO$3),0)</f>
        <v>0</v>
      </c>
      <c r="BP13" s="416" t="str">
        <f t="shared" si="10"/>
        <v/>
      </c>
      <c r="BQ13" s="381"/>
      <c r="BR13" s="381"/>
    </row>
    <row r="14" spans="1:72" s="386" customFormat="1" ht="15" customHeight="1" thickBot="1">
      <c r="A14" s="2200" t="s">
        <v>767</v>
      </c>
      <c r="B14" s="2128" t="s">
        <v>763</v>
      </c>
      <c r="C14" s="2129"/>
      <c r="D14" s="2157" t="s">
        <v>703</v>
      </c>
      <c r="E14" s="2158"/>
      <c r="F14" s="2301" t="s">
        <v>958</v>
      </c>
      <c r="G14" s="2302"/>
      <c r="H14" s="2302"/>
      <c r="I14" s="2302"/>
      <c r="J14" s="2302"/>
      <c r="K14" s="2303"/>
      <c r="L14" s="2299" t="s">
        <v>756</v>
      </c>
      <c r="M14" s="2300"/>
      <c r="N14" s="2413" t="s">
        <v>797</v>
      </c>
      <c r="O14" s="2415"/>
      <c r="P14" s="230"/>
      <c r="Q14" s="2274"/>
      <c r="R14" s="2412"/>
      <c r="S14" s="2424"/>
      <c r="T14" s="2424"/>
      <c r="U14" s="2441"/>
      <c r="V14" s="2288" t="s">
        <v>826</v>
      </c>
      <c r="W14" s="2278" t="s">
        <v>816</v>
      </c>
      <c r="X14" s="2276" t="s">
        <v>818</v>
      </c>
      <c r="Y14" s="2280" t="s">
        <v>817</v>
      </c>
      <c r="Z14" s="2281"/>
      <c r="AA14" s="2282"/>
      <c r="AB14" s="2282"/>
      <c r="AC14" s="2282"/>
      <c r="AD14" s="2278" t="s">
        <v>825</v>
      </c>
      <c r="AE14" s="2284" t="s">
        <v>806</v>
      </c>
      <c r="AF14" s="2274"/>
      <c r="AG14" s="2275"/>
      <c r="AH14" s="2132" t="s">
        <v>836</v>
      </c>
      <c r="AI14" s="2137" t="s">
        <v>837</v>
      </c>
      <c r="AJ14" s="2144" t="s">
        <v>841</v>
      </c>
      <c r="AL14" s="387"/>
      <c r="AO14" s="1107">
        <v>4.5</v>
      </c>
      <c r="AP14" s="1107">
        <v>5</v>
      </c>
      <c r="AQ14" s="554">
        <v>7.5</v>
      </c>
      <c r="AR14" s="554" t="str">
        <f t="shared" si="0"/>
        <v/>
      </c>
      <c r="AT14" s="388">
        <f t="shared" si="1"/>
        <v>7</v>
      </c>
      <c r="AU14" s="1081" t="str">
        <f>AT14&amp;" "&amp;IF(AW14&lt;&gt;"-",【様式2】職員名簿!B46&amp;"/"&amp;AV14&amp;"/"&amp;AW14,"")</f>
        <v xml:space="preserve">7 </v>
      </c>
      <c r="AV14" s="1081">
        <f>【様式2】職員名簿!E46</f>
        <v>0</v>
      </c>
      <c r="AW14" s="1081" t="str">
        <f>IF(【様式2】職員名簿!J46="エラー","-",IF(AND(【様式2】職員名簿!C46=$AW$3,【様式2】職員名簿!J46=$AW$4),$AW$3,【様式2】職員名簿!J46))</f>
        <v>-</v>
      </c>
      <c r="AX14" s="392">
        <f>IF($AV14="常勤",$AM$2,IF($AV14="非常勤",【様式2】職員名簿!G46,0))</f>
        <v>0</v>
      </c>
      <c r="AY14" s="415">
        <f>IF($AW14=AY$3,COUNTIF($AW$8:$AW14,AY$3),0)</f>
        <v>0</v>
      </c>
      <c r="AZ14" s="416" t="str">
        <f t="shared" si="2"/>
        <v/>
      </c>
      <c r="BA14" s="388">
        <f>IF(OR($AW14=BA$3,$AW14=BA$4),COUNTIF($AW$8:$AW14,BA$3)+COUNTIF($AW$8:$AW14,BA$4),0)</f>
        <v>0</v>
      </c>
      <c r="BB14" s="416" t="str">
        <f t="shared" si="3"/>
        <v/>
      </c>
      <c r="BC14" s="418">
        <f>IF($AW14=BC$3,COUNTIF($AW$8:$AW14,BC$3),0)</f>
        <v>0</v>
      </c>
      <c r="BD14" s="416" t="str">
        <f t="shared" si="4"/>
        <v/>
      </c>
      <c r="BE14" s="388">
        <f>IF(OR($AW14=BE$3,$AW14=BE$4),COUNTIF($AW$8:$AW14,BE$3)+COUNTIF($AW$8:$AW14,BE$4),0)</f>
        <v>0</v>
      </c>
      <c r="BF14" s="416" t="str">
        <f t="shared" si="5"/>
        <v/>
      </c>
      <c r="BG14" s="388">
        <f>IF($AW14=BG$4,COUNTIFS($AV$8:$AV14,BG$3,$AW$8:$AW14,BG$4),0)</f>
        <v>0</v>
      </c>
      <c r="BH14" s="416" t="str">
        <f t="shared" si="6"/>
        <v/>
      </c>
      <c r="BI14" s="388">
        <f>IF($AW14=BI$3,COUNTIF($AW$8:$AW14,BI$3),0)</f>
        <v>0</v>
      </c>
      <c r="BJ14" s="416" t="str">
        <f t="shared" si="7"/>
        <v/>
      </c>
      <c r="BK14" s="388">
        <f>IF($AW14=BK$3,COUNTIF($AW$8:$AW14,BK$3),0)</f>
        <v>0</v>
      </c>
      <c r="BL14" s="416" t="str">
        <f t="shared" si="8"/>
        <v/>
      </c>
      <c r="BM14" s="388">
        <f>IF($AW14&lt;&gt;BM$3,COUNTIF($AW$8:$AW14,"&lt;&gt;"&amp;BM$3),0)</f>
        <v>0</v>
      </c>
      <c r="BN14" s="416" t="str">
        <f t="shared" si="9"/>
        <v/>
      </c>
      <c r="BO14" s="388">
        <f>IF($AW14=BO$3,COUNTIF($AW$8:$AW14,BO$3),0)</f>
        <v>0</v>
      </c>
      <c r="BP14" s="416" t="str">
        <f t="shared" si="10"/>
        <v/>
      </c>
      <c r="BQ14" s="381"/>
      <c r="BR14" s="381"/>
    </row>
    <row r="15" spans="1:72" s="386" customFormat="1" ht="15" customHeight="1" thickBot="1">
      <c r="A15" s="2201"/>
      <c r="B15" s="2130"/>
      <c r="C15" s="2131"/>
      <c r="D15" s="2159"/>
      <c r="E15" s="2160"/>
      <c r="F15" s="2373" t="s">
        <v>799</v>
      </c>
      <c r="G15" s="2373"/>
      <c r="H15" s="2373"/>
      <c r="I15" s="334" t="s">
        <v>959</v>
      </c>
      <c r="J15" s="995" t="s">
        <v>960</v>
      </c>
      <c r="K15" s="335" t="s">
        <v>961</v>
      </c>
      <c r="L15" s="869" t="str">
        <f>IF($AL$2,"下限：","")</f>
        <v/>
      </c>
      <c r="M15" s="811" t="str">
        <f>IF($AL$2,IF($AL$3&gt;0,"①"&amp;$AL$3/$AM$2,"")&amp;IF($AL$4&gt;0,"　②"&amp;$AL$4/$AM$2,""),"")</f>
        <v/>
      </c>
      <c r="N15" s="2414"/>
      <c r="O15" s="2416"/>
      <c r="P15" s="230"/>
      <c r="Q15" s="527" t="s">
        <v>714</v>
      </c>
      <c r="R15" s="513" t="s">
        <v>715</v>
      </c>
      <c r="S15" s="2424"/>
      <c r="T15" s="2424"/>
      <c r="U15" s="2442"/>
      <c r="V15" s="2288"/>
      <c r="W15" s="2279"/>
      <c r="X15" s="2277"/>
      <c r="Y15" s="503" t="s">
        <v>820</v>
      </c>
      <c r="Z15" s="546" t="s">
        <v>844</v>
      </c>
      <c r="AA15" s="546" t="s">
        <v>845</v>
      </c>
      <c r="AB15" s="546" t="s">
        <v>846</v>
      </c>
      <c r="AC15" s="517">
        <v>0</v>
      </c>
      <c r="AD15" s="2283"/>
      <c r="AE15" s="2285"/>
      <c r="AF15" s="527" t="s">
        <v>687</v>
      </c>
      <c r="AG15" s="552" t="s">
        <v>727</v>
      </c>
      <c r="AH15" s="2133"/>
      <c r="AI15" s="2138"/>
      <c r="AJ15" s="2145"/>
      <c r="AO15" s="1107">
        <v>5.3</v>
      </c>
      <c r="AP15" s="1107">
        <v>5.5</v>
      </c>
      <c r="AQ15" s="554">
        <v>8</v>
      </c>
      <c r="AR15" s="554" t="str">
        <f t="shared" si="0"/>
        <v/>
      </c>
      <c r="AT15" s="388">
        <f t="shared" si="1"/>
        <v>8</v>
      </c>
      <c r="AU15" s="1081" t="str">
        <f>AT15&amp;" "&amp;IF(AW15&lt;&gt;"-",【様式2】職員名簿!B47&amp;"/"&amp;AV15&amp;"/"&amp;AW15,"")</f>
        <v xml:space="preserve">8 </v>
      </c>
      <c r="AV15" s="1081">
        <f>【様式2】職員名簿!E47</f>
        <v>0</v>
      </c>
      <c r="AW15" s="1081" t="str">
        <f>IF(【様式2】職員名簿!J47="エラー","-",IF(AND(【様式2】職員名簿!C47=$AW$3,【様式2】職員名簿!J47=$AW$4),$AW$3,【様式2】職員名簿!J47))</f>
        <v>-</v>
      </c>
      <c r="AX15" s="392">
        <f>IF($AV15="常勤",$AM$2,IF($AV15="非常勤",【様式2】職員名簿!G47,0))</f>
        <v>0</v>
      </c>
      <c r="AY15" s="415">
        <f>IF($AW15=AY$3,COUNTIF($AW$8:$AW15,AY$3),0)</f>
        <v>0</v>
      </c>
      <c r="AZ15" s="416" t="str">
        <f t="shared" si="2"/>
        <v/>
      </c>
      <c r="BA15" s="388">
        <f>IF(OR($AW15=BA$3,$AW15=BA$4),COUNTIF($AW$8:$AW15,BA$3)+COUNTIF($AW$8:$AW15,BA$4),0)</f>
        <v>0</v>
      </c>
      <c r="BB15" s="416" t="str">
        <f t="shared" si="3"/>
        <v/>
      </c>
      <c r="BC15" s="418">
        <f>IF($AW15=BC$3,COUNTIF($AW$8:$AW15,BC$3),0)</f>
        <v>0</v>
      </c>
      <c r="BD15" s="416" t="str">
        <f t="shared" si="4"/>
        <v/>
      </c>
      <c r="BE15" s="388">
        <f>IF(OR($AW15=BE$3,$AW15=BE$4),COUNTIF($AW$8:$AW15,BE$3)+COUNTIF($AW$8:$AW15,BE$4),0)</f>
        <v>0</v>
      </c>
      <c r="BF15" s="416" t="str">
        <f t="shared" si="5"/>
        <v/>
      </c>
      <c r="BG15" s="388">
        <f>IF($AW15=BG$4,COUNTIFS($AV$8:$AV15,BG$3,$AW$8:$AW15,BG$4),0)</f>
        <v>0</v>
      </c>
      <c r="BH15" s="416" t="str">
        <f t="shared" si="6"/>
        <v/>
      </c>
      <c r="BI15" s="388">
        <f>IF($AW15=BI$3,COUNTIF($AW$8:$AW15,BI$3),0)</f>
        <v>0</v>
      </c>
      <c r="BJ15" s="416" t="str">
        <f t="shared" si="7"/>
        <v/>
      </c>
      <c r="BK15" s="388">
        <f>IF($AW15=BK$3,COUNTIF($AW$8:$AW15,BK$3),0)</f>
        <v>0</v>
      </c>
      <c r="BL15" s="416" t="str">
        <f t="shared" si="8"/>
        <v/>
      </c>
      <c r="BM15" s="388">
        <f>IF($AW15&lt;&gt;BM$3,COUNTIF($AW$8:$AW15,"&lt;&gt;"&amp;BM$3),0)</f>
        <v>0</v>
      </c>
      <c r="BN15" s="416" t="str">
        <f t="shared" si="9"/>
        <v/>
      </c>
      <c r="BO15" s="388">
        <f>IF($AW15=BO$3,COUNTIF($AW$8:$AW15,BO$3),0)</f>
        <v>0</v>
      </c>
      <c r="BP15" s="416" t="str">
        <f t="shared" si="10"/>
        <v/>
      </c>
      <c r="BQ15" s="381"/>
      <c r="BR15" s="381"/>
    </row>
    <row r="16" spans="1:72" s="386" customFormat="1" ht="15" customHeight="1" thickTop="1">
      <c r="A16" s="2539" t="s">
        <v>761</v>
      </c>
      <c r="B16" s="2166" t="s">
        <v>1011</v>
      </c>
      <c r="C16" s="2167"/>
      <c r="D16" s="2293" t="str">
        <f>IF(W16,T16,"")</f>
        <v/>
      </c>
      <c r="E16" s="2294"/>
      <c r="F16" s="2421"/>
      <c r="G16" s="2422"/>
      <c r="H16" s="2422"/>
      <c r="I16" s="859" t="str">
        <f>IF(OR(NOT(W16),U16=0),"",U16)</f>
        <v/>
      </c>
      <c r="J16" s="851" t="str">
        <f>IF(OR(F16=0,F16=""),"",IF(W16,IF(X16,IF(OR(Y16,V16=3),IF(AD16,IF(OR(AE16,V16=2,V16=3),"○","要常勤"),"時間無"),"重複"),"名簿無"),"対象外"))</f>
        <v/>
      </c>
      <c r="K16" s="844" t="s">
        <v>802</v>
      </c>
      <c r="L16" s="877" t="str">
        <f>IF(AI16=1,"調整①→",IF(AI16=5,"調整②→",IF(AI16=2,"",IF(AI16=3,"全計上→","エラー"))))</f>
        <v/>
      </c>
      <c r="M16" s="878">
        <f>IF(OR(AND(J16&lt;&gt;"○",J16&lt;&gt;""),AI16=4),"×",IF(J16="",0,AJ16/$AM$2))</f>
        <v>0</v>
      </c>
      <c r="N16" s="608" t="str">
        <f>IF(Q16,"○","×")</f>
        <v>×</v>
      </c>
      <c r="O16" s="804" t="str">
        <f>IF(Q16,IF(S16,"○","×"),"-")</f>
        <v>-</v>
      </c>
      <c r="P16" s="419"/>
      <c r="Q16" s="528" t="b">
        <f>【様式１】総括表・個票!AI57</f>
        <v>0</v>
      </c>
      <c r="R16" s="532" t="s">
        <v>1010</v>
      </c>
      <c r="S16" s="528" t="b">
        <f>AND(M16&gt;0,O87&gt;=0)</f>
        <v>0</v>
      </c>
      <c r="T16" s="528" t="str">
        <f>$AZ$6</f>
        <v>施設長</v>
      </c>
      <c r="U16" s="515">
        <f>IFERROR(VLOOKUP($F16,$AU$8:$AX$107,4,FALSE),0)</f>
        <v>0</v>
      </c>
      <c r="V16" s="528">
        <v>2</v>
      </c>
      <c r="W16" s="528" t="b">
        <f>Q16</f>
        <v>0</v>
      </c>
      <c r="X16" s="520" t="b">
        <f t="shared" ref="X16:X24" ca="1" si="12">COUNTIF(INDIRECT(T16),F16)&gt;0</f>
        <v>0</v>
      </c>
      <c r="Y16" s="500" t="b">
        <f>COUNTIF($AC$15:AC15,AC16)+COUNTIF(AC17:$AC$69,AC16)-COUNTIF(Z16:AB16,AC16)=0</f>
        <v>0</v>
      </c>
      <c r="Z16" s="528" t="s">
        <v>832</v>
      </c>
      <c r="AA16" s="528" t="s">
        <v>707</v>
      </c>
      <c r="AB16" s="528" t="s">
        <v>707</v>
      </c>
      <c r="AC16" s="536">
        <f>IF(V16=3,0,IFERROR(INDEX($AT$8:$AT$107,MATCH($F16,AU$8:AU$107,0),1),0))</f>
        <v>0</v>
      </c>
      <c r="AD16" s="520" t="b">
        <f>U16&gt;0</f>
        <v>0</v>
      </c>
      <c r="AE16" s="500" t="b">
        <f>IFERROR(VLOOKUP($F16,$AU$8:$AX$107,2,FALSE),"")="常勤"</f>
        <v>0</v>
      </c>
      <c r="AF16" s="528" t="s">
        <v>802</v>
      </c>
      <c r="AG16" s="528" t="s">
        <v>801</v>
      </c>
      <c r="AH16" s="528">
        <v>2</v>
      </c>
      <c r="AI16" s="414">
        <f>IF(AND($W16,$J16="○"),IF($K16="-",IF($U16&lt;IF($AH16=5,$AL$4,$AL$3),$AH16,2),IF($K16=0,IF($U16&lt;IF($AH16=5,$AL$4,$AL$3),IF(OR($AH16=1,$AH16=5),$AH16,3),3),IF(K16&lt;IF($AH16=5,$AL$4,$AL$3),$AH16,IF($K16&gt;$U16,4,2)))),2)</f>
        <v>2</v>
      </c>
      <c r="AJ16" s="518">
        <f t="shared" ref="AJ16:AJ24" si="13">IF(AI16=1,$AL$3,IF(AI16=5,$AL$4,IF(AI16=2,IF(K16="-",U16,K16),IF(AI16=3,U16,"×"))))</f>
        <v>0</v>
      </c>
      <c r="AO16" s="1107">
        <v>5.5</v>
      </c>
      <c r="AP16" s="1107">
        <v>6</v>
      </c>
      <c r="AQ16" s="229"/>
      <c r="AR16" s="229"/>
      <c r="AT16" s="388">
        <f t="shared" si="1"/>
        <v>9</v>
      </c>
      <c r="AU16" s="1081" t="str">
        <f>AT16&amp;" "&amp;IF(AW16&lt;&gt;"-",【様式2】職員名簿!B48&amp;"/"&amp;AV16&amp;"/"&amp;AW16,"")</f>
        <v xml:space="preserve">9 </v>
      </c>
      <c r="AV16" s="1081">
        <f>【様式2】職員名簿!E48</f>
        <v>0</v>
      </c>
      <c r="AW16" s="1081" t="str">
        <f>IF(【様式2】職員名簿!J48="エラー","-",IF(AND(【様式2】職員名簿!C48=$AW$3,【様式2】職員名簿!J48=$AW$4),$AW$3,【様式2】職員名簿!J48))</f>
        <v>-</v>
      </c>
      <c r="AX16" s="392">
        <f>IF($AV16="常勤",$AM$2,IF($AV16="非常勤",【様式2】職員名簿!G48,0))</f>
        <v>0</v>
      </c>
      <c r="AY16" s="415">
        <f>IF($AW16=AY$3,COUNTIF($AW$8:$AW16,AY$3),0)</f>
        <v>0</v>
      </c>
      <c r="AZ16" s="416" t="str">
        <f t="shared" si="2"/>
        <v/>
      </c>
      <c r="BA16" s="388">
        <f>IF(OR($AW16=BA$3,$AW16=BA$4),COUNTIF($AW$8:$AW16,BA$3)+COUNTIF($AW$8:$AW16,BA$4),0)</f>
        <v>0</v>
      </c>
      <c r="BB16" s="416" t="str">
        <f t="shared" si="3"/>
        <v/>
      </c>
      <c r="BC16" s="418">
        <f>IF($AW16=BC$3,COUNTIF($AW$8:$AW16,BC$3),0)</f>
        <v>0</v>
      </c>
      <c r="BD16" s="416" t="str">
        <f t="shared" si="4"/>
        <v/>
      </c>
      <c r="BE16" s="388">
        <f>IF(OR($AW16=BE$3,$AW16=BE$4),COUNTIF($AW$8:$AW16,BE$3)+COUNTIF($AW$8:$AW16,BE$4),0)</f>
        <v>0</v>
      </c>
      <c r="BF16" s="416" t="str">
        <f t="shared" si="5"/>
        <v/>
      </c>
      <c r="BG16" s="388">
        <f>IF($AW16=BG$4,COUNTIFS($AV$8:$AV16,BG$3,$AW$8:$AW16,BG$4),0)</f>
        <v>0</v>
      </c>
      <c r="BH16" s="416" t="str">
        <f t="shared" si="6"/>
        <v/>
      </c>
      <c r="BI16" s="388">
        <f>IF($AW16=BI$3,COUNTIF($AW$8:$AW16,BI$3),0)</f>
        <v>0</v>
      </c>
      <c r="BJ16" s="416" t="str">
        <f t="shared" si="7"/>
        <v/>
      </c>
      <c r="BK16" s="388">
        <f>IF($AW16=BK$3,COUNTIF($AW$8:$AW16,BK$3),0)</f>
        <v>0</v>
      </c>
      <c r="BL16" s="416" t="str">
        <f t="shared" si="8"/>
        <v/>
      </c>
      <c r="BM16" s="388">
        <f>IF($AW16&lt;&gt;BM$3,COUNTIF($AW$8:$AW16,"&lt;&gt;"&amp;BM$3),0)</f>
        <v>0</v>
      </c>
      <c r="BN16" s="416" t="str">
        <f t="shared" si="9"/>
        <v/>
      </c>
      <c r="BO16" s="388">
        <f>IF($AW16=BO$3,COUNTIF($AW$8:$AW16,BO$3),0)</f>
        <v>0</v>
      </c>
      <c r="BP16" s="416" t="str">
        <f t="shared" si="10"/>
        <v/>
      </c>
      <c r="BQ16" s="381"/>
      <c r="BR16" s="381"/>
    </row>
    <row r="17" spans="1:70" s="386" customFormat="1" ht="15" customHeight="1">
      <c r="A17" s="2164"/>
      <c r="B17" s="2531" t="s">
        <v>704</v>
      </c>
      <c r="C17" s="2532"/>
      <c r="D17" s="2194" t="str">
        <f t="shared" ref="D17" si="14">IF(W17,T17,"")</f>
        <v>事務員</v>
      </c>
      <c r="E17" s="2195"/>
      <c r="F17" s="2304" t="str">
        <f>IF(R17=1,"常勤１名+非常勤１名",IF(R17=2,"兼務１名",IF(R17=3,"業務委託","エラー：個票0を見直すこと")))</f>
        <v>エラー：個票0を見直すこと</v>
      </c>
      <c r="G17" s="2305"/>
      <c r="H17" s="2305"/>
      <c r="I17" s="2305"/>
      <c r="J17" s="2305"/>
      <c r="K17" s="2306"/>
      <c r="L17" s="879" t="s">
        <v>906</v>
      </c>
      <c r="M17" s="880" t="s">
        <v>906</v>
      </c>
      <c r="N17" s="819" t="str">
        <f>IF(Q17,"○","×")</f>
        <v>○</v>
      </c>
      <c r="O17" s="2537" t="str">
        <f>IF(Q17,IF(S17,"○","×"),"-")</f>
        <v>×</v>
      </c>
      <c r="P17" s="419"/>
      <c r="Q17" s="759" t="b">
        <f>TRUE()</f>
        <v>1</v>
      </c>
      <c r="R17" s="529">
        <f>IF(【様式１】総括表・個票!AI59,1,IF(【様式１】総括表・個票!AI60,2,IF(【様式１】総括表・個票!AI61,3,0)))</f>
        <v>0</v>
      </c>
      <c r="S17" s="533" t="b">
        <f>AND($O103&gt;=0,IF(Q18,S18,TRUE),IF(Q19,S19,TRUE),IF(Q20,S20,TRUE),IF(Q21,S21,TRUE),OR(Q18,Q19,Q20,Q21))</f>
        <v>0</v>
      </c>
      <c r="T17" s="529" t="str">
        <f>$BJ$6</f>
        <v>事務員</v>
      </c>
      <c r="U17" s="818" t="s">
        <v>907</v>
      </c>
      <c r="V17" s="529" t="s">
        <v>907</v>
      </c>
      <c r="W17" s="529" t="b">
        <f>Q17</f>
        <v>1</v>
      </c>
      <c r="X17" s="520" t="s">
        <v>907</v>
      </c>
      <c r="Y17" s="500" t="s">
        <v>907</v>
      </c>
      <c r="Z17" s="814" t="s">
        <v>801</v>
      </c>
      <c r="AA17" s="814" t="s">
        <v>801</v>
      </c>
      <c r="AB17" s="814" t="s">
        <v>801</v>
      </c>
      <c r="AC17" s="813" t="s">
        <v>801</v>
      </c>
      <c r="AD17" s="521" t="s">
        <v>801</v>
      </c>
      <c r="AE17" s="550" t="s">
        <v>801</v>
      </c>
      <c r="AF17" s="529" t="s">
        <v>801</v>
      </c>
      <c r="AG17" s="529" t="s">
        <v>801</v>
      </c>
      <c r="AH17" s="529" t="s">
        <v>801</v>
      </c>
      <c r="AI17" s="418" t="s">
        <v>801</v>
      </c>
      <c r="AJ17" s="420" t="s">
        <v>1010</v>
      </c>
      <c r="AO17" s="1107">
        <v>6.3</v>
      </c>
      <c r="AP17" s="1107">
        <v>6.5</v>
      </c>
      <c r="AQ17" s="229"/>
      <c r="AR17" s="229"/>
      <c r="AT17" s="388">
        <f t="shared" si="1"/>
        <v>10</v>
      </c>
      <c r="AU17" s="1081" t="str">
        <f>AT17&amp;" "&amp;IF(AW17&lt;&gt;"-",【様式2】職員名簿!B49&amp;"/"&amp;AV17&amp;"/"&amp;AW17,"")</f>
        <v xml:space="preserve">10 </v>
      </c>
      <c r="AV17" s="1081">
        <f>【様式2】職員名簿!E49</f>
        <v>0</v>
      </c>
      <c r="AW17" s="1081" t="str">
        <f>IF(【様式2】職員名簿!J49="エラー","-",IF(AND(【様式2】職員名簿!C49=$AW$3,【様式2】職員名簿!J49=$AW$4),$AW$3,【様式2】職員名簿!J49))</f>
        <v>-</v>
      </c>
      <c r="AX17" s="392">
        <f>IF($AV17="常勤",$AM$2,IF($AV17="非常勤",【様式2】職員名簿!G49,0))</f>
        <v>0</v>
      </c>
      <c r="AY17" s="415">
        <f>IF($AW17=AY$3,COUNTIF($AW$8:$AW17,AY$3),0)</f>
        <v>0</v>
      </c>
      <c r="AZ17" s="416" t="str">
        <f t="shared" si="2"/>
        <v/>
      </c>
      <c r="BA17" s="388">
        <f>IF(OR($AW17=BA$3,$AW17=BA$4),COUNTIF($AW$8:$AW17,BA$3)+COUNTIF($AW$8:$AW17,BA$4),0)</f>
        <v>0</v>
      </c>
      <c r="BB17" s="416" t="str">
        <f t="shared" si="3"/>
        <v/>
      </c>
      <c r="BC17" s="418">
        <f>IF($AW17=BC$3,COUNTIF($AW$8:$AW17,BC$3),0)</f>
        <v>0</v>
      </c>
      <c r="BD17" s="416" t="str">
        <f t="shared" si="4"/>
        <v/>
      </c>
      <c r="BE17" s="388">
        <f>IF(OR($AW17=BE$3,$AW17=BE$4),COUNTIF($AW$8:$AW17,BE$3)+COUNTIF($AW$8:$AW17,BE$4),0)</f>
        <v>0</v>
      </c>
      <c r="BF17" s="416" t="str">
        <f t="shared" si="5"/>
        <v/>
      </c>
      <c r="BG17" s="388">
        <f>IF($AW17=BG$4,COUNTIFS($AV$8:$AV17,BG$3,$AW$8:$AW17,BG$4),0)</f>
        <v>0</v>
      </c>
      <c r="BH17" s="416" t="str">
        <f t="shared" si="6"/>
        <v/>
      </c>
      <c r="BI17" s="388">
        <f>IF($AW17=BI$3,COUNTIF($AW$8:$AW17,BI$3),0)</f>
        <v>0</v>
      </c>
      <c r="BJ17" s="416" t="str">
        <f t="shared" si="7"/>
        <v/>
      </c>
      <c r="BK17" s="388">
        <f>IF($AW17=BK$3,COUNTIF($AW$8:$AW17,BK$3),0)</f>
        <v>0</v>
      </c>
      <c r="BL17" s="416" t="str">
        <f t="shared" si="8"/>
        <v/>
      </c>
      <c r="BM17" s="388">
        <f>IF($AW17&lt;&gt;BM$3,COUNTIF($AW$8:$AW17,"&lt;&gt;"&amp;BM$3),0)</f>
        <v>0</v>
      </c>
      <c r="BN17" s="416" t="str">
        <f t="shared" si="9"/>
        <v/>
      </c>
      <c r="BO17" s="388">
        <f>IF($AW17=BO$3,COUNTIF($AW$8:$AW17,BO$3),0)</f>
        <v>0</v>
      </c>
      <c r="BP17" s="416" t="str">
        <f t="shared" si="10"/>
        <v/>
      </c>
      <c r="BQ17" s="381"/>
      <c r="BR17" s="381"/>
    </row>
    <row r="18" spans="1:70" s="386" customFormat="1" ht="15" customHeight="1">
      <c r="A18" s="2164"/>
      <c r="B18" s="2533"/>
      <c r="C18" s="2389"/>
      <c r="D18" s="2535" t="str">
        <f>IF(R17=1,"専任",IF(R17=2,"兼務",IF(R17=3,"委託","エラー")))</f>
        <v>エラー</v>
      </c>
      <c r="E18" s="820" t="str">
        <f>IF(W18,T18,"")</f>
        <v/>
      </c>
      <c r="F18" s="2251"/>
      <c r="G18" s="2252"/>
      <c r="H18" s="2252"/>
      <c r="I18" s="860" t="str">
        <f t="shared" ref="I18:I24" si="15">IF(OR(NOT(W18),U18=0),"",U18)</f>
        <v/>
      </c>
      <c r="J18" s="852" t="str">
        <f t="shared" ref="J18:J24" si="16">IF(OR(F18=0,F18=""),"",IF(W18,IF(X18,IF(OR(Y18,V18=3),IF(AD18,IF(OR(AE18,V18=2,V18=3),"○","要常勤"),"時間無"),"重複"),"名簿無"),"対象外"))</f>
        <v/>
      </c>
      <c r="K18" s="820" t="s">
        <v>802</v>
      </c>
      <c r="L18" s="881" t="str">
        <f t="shared" ref="L18:L21" si="17">IF(AI18=1,"調整①→",IF(AI18=5,"調整②→",IF(AI18=2,"",IF(AI18=3,"全計上→","エラー"))))</f>
        <v/>
      </c>
      <c r="M18" s="617">
        <f>IF(OR(AND(J18&lt;&gt;"○",J18&lt;&gt;""),AI18=4),"×",IF(J18="",0,AJ18/$AM$2))</f>
        <v>0</v>
      </c>
      <c r="N18" s="756" t="str">
        <f>IF(Q18,"○","×")</f>
        <v>×</v>
      </c>
      <c r="O18" s="2289" t="str">
        <f t="shared" ref="O18:O21" si="18">IF(Q18,IF(S18,"○","×"),"-")</f>
        <v>-</v>
      </c>
      <c r="P18" s="419"/>
      <c r="Q18" s="759" t="b">
        <f>R18</f>
        <v>0</v>
      </c>
      <c r="R18" s="758" t="b">
        <f>R17=1</f>
        <v>0</v>
      </c>
      <c r="S18" s="529" t="b">
        <f>AND(J18="○",$O$103&gt;=0)</f>
        <v>0</v>
      </c>
      <c r="T18" s="529" t="str">
        <f>$BH$6</f>
        <v>常勤事務員</v>
      </c>
      <c r="U18" s="417">
        <f>IFERROR(VLOOKUP($F18,$AU$8:$AX$107,4,FALSE),0)</f>
        <v>0</v>
      </c>
      <c r="V18" s="529">
        <v>1</v>
      </c>
      <c r="W18" s="529" t="b">
        <f>R18</f>
        <v>0</v>
      </c>
      <c r="X18" s="520" t="b">
        <f t="shared" ca="1" si="12"/>
        <v>0</v>
      </c>
      <c r="Y18" s="500" t="b">
        <f>COUNTIF($AC$15:AC17,AC18)+COUNTIF(AC19:$AC$69,AC18)-COUNTIF(Z18:AB18,AC18)=0</f>
        <v>0</v>
      </c>
      <c r="Z18" s="539" t="s">
        <v>801</v>
      </c>
      <c r="AA18" s="539" t="s">
        <v>801</v>
      </c>
      <c r="AB18" s="539" t="s">
        <v>801</v>
      </c>
      <c r="AC18" s="536">
        <f t="shared" ref="AC18:AC24" si="19">IF(V18=3,0,IFERROR(INDEX($AT$8:$AT$107,MATCH($F18,AU$8:AU$107,0),1),0))</f>
        <v>0</v>
      </c>
      <c r="AD18" s="418" t="b">
        <f t="shared" ref="AD18:AD42" si="20">U18&gt;0</f>
        <v>0</v>
      </c>
      <c r="AE18" s="392" t="b">
        <f t="shared" ref="AE18:AE42" si="21">IFERROR(VLOOKUP($F18,$AU$8:$AX$107,2,FALSE),"")="常勤"</f>
        <v>0</v>
      </c>
      <c r="AF18" s="529" t="s">
        <v>801</v>
      </c>
      <c r="AG18" s="529" t="s">
        <v>801</v>
      </c>
      <c r="AH18" s="529">
        <v>1</v>
      </c>
      <c r="AI18" s="418">
        <f>IF(AND($W18,$J18="○"),IF($K18="-",IF($U18&lt;IF($AH18=5,$AL$4,$AL$3),$AH18,2),IF($K18=0,IF($U18&lt;IF($AH18=5,$AL$4,$AL$3),IF(OR($AH18=1,$AH18=5),$AH18,3),3),IF(K18&lt;IF($AH18=5,$AL$4,$AL$3),$AH18,IF($K18&gt;$U18,4,2)))),2)</f>
        <v>2</v>
      </c>
      <c r="AJ18" s="420">
        <f t="shared" si="13"/>
        <v>0</v>
      </c>
      <c r="AO18" s="1107">
        <v>6.5</v>
      </c>
      <c r="AP18" s="1107">
        <v>7</v>
      </c>
      <c r="AQ18" s="229"/>
      <c r="AR18" s="229"/>
      <c r="AT18" s="388">
        <f t="shared" si="1"/>
        <v>11</v>
      </c>
      <c r="AU18" s="1081" t="str">
        <f>AT18&amp;" "&amp;IF(AW18&lt;&gt;"-",【様式2】職員名簿!B50&amp;"/"&amp;AV18&amp;"/"&amp;AW18,"")</f>
        <v xml:space="preserve">11 </v>
      </c>
      <c r="AV18" s="1081">
        <f>【様式2】職員名簿!E50</f>
        <v>0</v>
      </c>
      <c r="AW18" s="1081" t="str">
        <f>IF(【様式2】職員名簿!J50="エラー","-",IF(AND(【様式2】職員名簿!C50=$AW$3,【様式2】職員名簿!J50=$AW$4),$AW$3,【様式2】職員名簿!J50))</f>
        <v>-</v>
      </c>
      <c r="AX18" s="392">
        <f>IF($AV18="常勤",$AM$2,IF($AV18="非常勤",【様式2】職員名簿!G50,0))</f>
        <v>0</v>
      </c>
      <c r="AY18" s="415">
        <f>IF($AW18=AY$3,COUNTIF($AW$8:$AW18,AY$3),0)</f>
        <v>0</v>
      </c>
      <c r="AZ18" s="416" t="str">
        <f t="shared" si="2"/>
        <v/>
      </c>
      <c r="BA18" s="388">
        <f>IF(OR($AW18=BA$3,$AW18=BA$4),COUNTIF($AW$8:$AW18,BA$3)+COUNTIF($AW$8:$AW18,BA$4),0)</f>
        <v>0</v>
      </c>
      <c r="BB18" s="416" t="str">
        <f t="shared" si="3"/>
        <v/>
      </c>
      <c r="BC18" s="418">
        <f>IF($AW18=BC$3,COUNTIF($AW$8:$AW18,BC$3),0)</f>
        <v>0</v>
      </c>
      <c r="BD18" s="416" t="str">
        <f t="shared" si="4"/>
        <v/>
      </c>
      <c r="BE18" s="388">
        <f>IF(OR($AW18=BE$3,$AW18=BE$4),COUNTIF($AW$8:$AW18,BE$3)+COUNTIF($AW$8:$AW18,BE$4),0)</f>
        <v>0</v>
      </c>
      <c r="BF18" s="416" t="str">
        <f t="shared" si="5"/>
        <v/>
      </c>
      <c r="BG18" s="388">
        <f>IF($AW18=BG$4,COUNTIFS($AV$8:$AV18,BG$3,$AW$8:$AW18,BG$4),0)</f>
        <v>0</v>
      </c>
      <c r="BH18" s="416" t="str">
        <f t="shared" si="6"/>
        <v/>
      </c>
      <c r="BI18" s="388">
        <f>IF($AW18=BI$3,COUNTIF($AW$8:$AW18,BI$3),0)</f>
        <v>0</v>
      </c>
      <c r="BJ18" s="416" t="str">
        <f t="shared" si="7"/>
        <v/>
      </c>
      <c r="BK18" s="388">
        <f>IF($AW18=BK$3,COUNTIF($AW$8:$AW18,BK$3),0)</f>
        <v>0</v>
      </c>
      <c r="BL18" s="416" t="str">
        <f t="shared" si="8"/>
        <v/>
      </c>
      <c r="BM18" s="388">
        <f>IF($AW18&lt;&gt;BM$3,COUNTIF($AW$8:$AW18,"&lt;&gt;"&amp;BM$3),0)</f>
        <v>0</v>
      </c>
      <c r="BN18" s="416" t="str">
        <f t="shared" si="9"/>
        <v/>
      </c>
      <c r="BO18" s="388">
        <f>IF($AW18=BO$3,COUNTIF($AW$8:$AW18,BO$3),0)</f>
        <v>0</v>
      </c>
      <c r="BP18" s="416" t="str">
        <f t="shared" si="10"/>
        <v/>
      </c>
      <c r="BQ18" s="381"/>
      <c r="BR18" s="381"/>
    </row>
    <row r="19" spans="1:70" s="386" customFormat="1" ht="15" customHeight="1">
      <c r="A19" s="2164"/>
      <c r="B19" s="2533"/>
      <c r="C19" s="2389"/>
      <c r="D19" s="2535"/>
      <c r="E19" s="999" t="str">
        <f>IF(W19,T19,"")</f>
        <v/>
      </c>
      <c r="F19" s="2155"/>
      <c r="G19" s="2156"/>
      <c r="H19" s="2156"/>
      <c r="I19" s="861" t="str">
        <f t="shared" si="15"/>
        <v/>
      </c>
      <c r="J19" s="1012" t="str">
        <f>IF(OR(F19=0,F19=""),"",IF(W19,IF(X19,IF(OR(Y19,V19=3),IF(AD19,IF(OR(AE19,V19=2,V19=3),"○","要常勤"),"時間無"),"重複"),"名簿無"),"対象外"))</f>
        <v/>
      </c>
      <c r="K19" s="997" t="s">
        <v>802</v>
      </c>
      <c r="L19" s="882" t="str">
        <f>IF(AI19=1,"調整①→",IF(AI19=5,"調整②→",IF(AI19=2,"",IF(AI19=3,"全計上→","エラー"))))</f>
        <v/>
      </c>
      <c r="M19" s="883">
        <f t="shared" ref="M19:M20" si="22">IF(OR(AND(J19&lt;&gt;"○",J19&lt;&gt;""),AI19=4),"×",IF(J19="",0,AJ19/$AM$2))</f>
        <v>0</v>
      </c>
      <c r="N19" s="756" t="str">
        <f>IF(Q19,"○","×")</f>
        <v>×</v>
      </c>
      <c r="O19" s="2289" t="str">
        <f t="shared" si="18"/>
        <v>-</v>
      </c>
      <c r="P19" s="419"/>
      <c r="Q19" s="759" t="b">
        <f>R19</f>
        <v>0</v>
      </c>
      <c r="R19" s="758" t="b">
        <f>R17=1</f>
        <v>0</v>
      </c>
      <c r="S19" s="529" t="b">
        <f>AND(J19="○",$O$103&gt;=0)</f>
        <v>0</v>
      </c>
      <c r="T19" s="529" t="str">
        <f>$BJ$6</f>
        <v>事務員</v>
      </c>
      <c r="U19" s="417">
        <f>IFERROR(VLOOKUP($F19,$AU$8:$AX$107,4,FALSE),0)</f>
        <v>0</v>
      </c>
      <c r="V19" s="529">
        <v>2</v>
      </c>
      <c r="W19" s="529" t="b">
        <f t="shared" ref="W19" si="23">R19</f>
        <v>0</v>
      </c>
      <c r="X19" s="520" t="b">
        <f t="shared" ca="1" si="12"/>
        <v>0</v>
      </c>
      <c r="Y19" s="500" t="b">
        <f>COUNTIF($AC$15:AC18,AC19)+COUNTIF(AC20:$AC$69,AC19)-COUNTIF(Z19:AB19,AC19)=0</f>
        <v>0</v>
      </c>
      <c r="Z19" s="539" t="s">
        <v>801</v>
      </c>
      <c r="AA19" s="539" t="s">
        <v>801</v>
      </c>
      <c r="AB19" s="539" t="s">
        <v>801</v>
      </c>
      <c r="AC19" s="536">
        <f t="shared" si="19"/>
        <v>0</v>
      </c>
      <c r="AD19" s="418" t="b">
        <f t="shared" si="20"/>
        <v>0</v>
      </c>
      <c r="AE19" s="392" t="b">
        <f t="shared" si="21"/>
        <v>0</v>
      </c>
      <c r="AF19" s="529" t="s">
        <v>801</v>
      </c>
      <c r="AG19" s="529" t="s">
        <v>801</v>
      </c>
      <c r="AH19" s="529">
        <v>5</v>
      </c>
      <c r="AI19" s="418">
        <f t="shared" ref="AI19:AI24" si="24">IF(AND($W19,$J19="○"),IF($K19="-",IF($U19&lt;IF($AH19=5,$AL$4,$AL$3),$AH19,2),IF($K19=0,IF($U19&lt;IF($AH19=5,$AL$4,$AL$3),IF(OR($AH19=1,$AH19=5),$AH19,3),3),IF(K19&lt;IF($AH19=5,$AL$4,$AL$3),$AH19,IF($K19&gt;$U19,4,2)))),2)</f>
        <v>2</v>
      </c>
      <c r="AJ19" s="420">
        <f t="shared" si="13"/>
        <v>0</v>
      </c>
      <c r="AO19" s="1107">
        <v>7.3</v>
      </c>
      <c r="AP19" s="1107">
        <v>7.5</v>
      </c>
      <c r="AT19" s="388">
        <f t="shared" si="1"/>
        <v>12</v>
      </c>
      <c r="AU19" s="1081" t="str">
        <f>AT19&amp;" "&amp;IF(AW19&lt;&gt;"-",【様式2】職員名簿!B51&amp;"/"&amp;AV19&amp;"/"&amp;AW19,"")</f>
        <v xml:space="preserve">12 </v>
      </c>
      <c r="AV19" s="1081">
        <f>【様式2】職員名簿!E51</f>
        <v>0</v>
      </c>
      <c r="AW19" s="1081" t="str">
        <f>IF(【様式2】職員名簿!J51="エラー","-",IF(AND(【様式2】職員名簿!C51=$AW$3,【様式2】職員名簿!J51=$AW$4),$AW$3,【様式2】職員名簿!J51))</f>
        <v>-</v>
      </c>
      <c r="AX19" s="392">
        <f>IF($AV19="常勤",$AM$2,IF($AV19="非常勤",【様式2】職員名簿!G51,0))</f>
        <v>0</v>
      </c>
      <c r="AY19" s="415">
        <f>IF($AW19=AY$3,COUNTIF($AW$8:$AW19,AY$3),0)</f>
        <v>0</v>
      </c>
      <c r="AZ19" s="416" t="str">
        <f t="shared" si="2"/>
        <v/>
      </c>
      <c r="BA19" s="388">
        <f>IF(OR($AW19=BA$3,$AW19=BA$4),COUNTIF($AW$8:$AW19,BA$3)+COUNTIF($AW$8:$AW19,BA$4),0)</f>
        <v>0</v>
      </c>
      <c r="BB19" s="416" t="str">
        <f t="shared" si="3"/>
        <v/>
      </c>
      <c r="BC19" s="418">
        <f>IF($AW19=BC$3,COUNTIF($AW$8:$AW19,BC$3),0)</f>
        <v>0</v>
      </c>
      <c r="BD19" s="416" t="str">
        <f t="shared" si="4"/>
        <v/>
      </c>
      <c r="BE19" s="388">
        <f>IF(OR($AW19=BE$3,$AW19=BE$4),COUNTIF($AW$8:$AW19,BE$3)+COUNTIF($AW$8:$AW19,BE$4),0)</f>
        <v>0</v>
      </c>
      <c r="BF19" s="416" t="str">
        <f t="shared" si="5"/>
        <v/>
      </c>
      <c r="BG19" s="388">
        <f>IF($AW19=BG$4,COUNTIFS($AV$8:$AV19,BG$3,$AW$8:$AW19,BG$4),0)</f>
        <v>0</v>
      </c>
      <c r="BH19" s="416" t="str">
        <f t="shared" si="6"/>
        <v/>
      </c>
      <c r="BI19" s="388">
        <f>IF($AW19=BI$3,COUNTIF($AW$8:$AW19,BI$3),0)</f>
        <v>0</v>
      </c>
      <c r="BJ19" s="416" t="str">
        <f t="shared" si="7"/>
        <v/>
      </c>
      <c r="BK19" s="388">
        <f>IF($AW19=BK$3,COUNTIF($AW$8:$AW19,BK$3),0)</f>
        <v>0</v>
      </c>
      <c r="BL19" s="416" t="str">
        <f t="shared" si="8"/>
        <v/>
      </c>
      <c r="BM19" s="388">
        <f>IF($AW19&lt;&gt;BM$3,COUNTIF($AW$8:$AW19,"&lt;&gt;"&amp;BM$3),0)</f>
        <v>0</v>
      </c>
      <c r="BN19" s="416" t="str">
        <f t="shared" si="9"/>
        <v/>
      </c>
      <c r="BO19" s="388">
        <f>IF($AW19=BO$3,COUNTIF($AW$8:$AW19,BO$3),0)</f>
        <v>0</v>
      </c>
      <c r="BP19" s="416" t="str">
        <f t="shared" si="10"/>
        <v/>
      </c>
      <c r="BQ19" s="381"/>
      <c r="BR19" s="381"/>
    </row>
    <row r="20" spans="1:70" s="386" customFormat="1" ht="15" customHeight="1">
      <c r="A20" s="2164"/>
      <c r="B20" s="2533"/>
      <c r="C20" s="2389"/>
      <c r="D20" s="2535"/>
      <c r="E20" s="773" t="str">
        <f>IF(W20,T20,"")</f>
        <v/>
      </c>
      <c r="F20" s="2178"/>
      <c r="G20" s="2418"/>
      <c r="H20" s="2418"/>
      <c r="I20" s="860" t="str">
        <f t="shared" si="15"/>
        <v/>
      </c>
      <c r="J20" s="1009" t="str">
        <f>IF(OR(F20=0,F20=""),"",IF(W20,IF(X20,IF(OR(Y20,V20=3),IF(AD20,IF(OR(AE20,V20=2,V20=3),"○","要常勤"),"時間無"),"重複"),"名簿無"),"対象外"))</f>
        <v/>
      </c>
      <c r="K20" s="1073"/>
      <c r="L20" s="884" t="str">
        <f t="shared" si="17"/>
        <v/>
      </c>
      <c r="M20" s="610">
        <f t="shared" si="22"/>
        <v>0</v>
      </c>
      <c r="N20" s="756" t="str">
        <f t="shared" ref="N20" si="25">IF(Q20,"○","×")</f>
        <v>×</v>
      </c>
      <c r="O20" s="2289" t="str">
        <f t="shared" si="18"/>
        <v>-</v>
      </c>
      <c r="P20" s="419"/>
      <c r="Q20" s="759" t="b">
        <f>R20</f>
        <v>0</v>
      </c>
      <c r="R20" s="758" t="b">
        <f>R17=2</f>
        <v>0</v>
      </c>
      <c r="S20" s="529" t="b">
        <f>AND(J20="○",$O$103&gt;=0)</f>
        <v>0</v>
      </c>
      <c r="T20" s="529" t="str">
        <f>$BN$6</f>
        <v>全職種</v>
      </c>
      <c r="U20" s="417">
        <f>IFERROR(VLOOKUP($F20,$AU$8:$AX$107,4,FALSE),0)</f>
        <v>0</v>
      </c>
      <c r="V20" s="529">
        <v>3</v>
      </c>
      <c r="W20" s="529" t="b">
        <f>R20</f>
        <v>0</v>
      </c>
      <c r="X20" s="520" t="b">
        <f t="shared" ca="1" si="12"/>
        <v>0</v>
      </c>
      <c r="Y20" s="500" t="b">
        <f>COUNTIF($AC$15:AC19,AC20)+COUNTIF(AC21:$AC$69,AC20)-COUNTIF(Z20:AB20,AC20)=0</f>
        <v>0</v>
      </c>
      <c r="Z20" s="539" t="s">
        <v>801</v>
      </c>
      <c r="AA20" s="539" t="s">
        <v>801</v>
      </c>
      <c r="AB20" s="539" t="s">
        <v>801</v>
      </c>
      <c r="AC20" s="499">
        <f t="shared" si="19"/>
        <v>0</v>
      </c>
      <c r="AD20" s="418" t="b">
        <f t="shared" si="20"/>
        <v>0</v>
      </c>
      <c r="AE20" s="392" t="b">
        <f t="shared" si="21"/>
        <v>0</v>
      </c>
      <c r="AF20" s="529" t="str">
        <f>IFERROR(VLOOKUP(F20,$AU$8:$AX$107,3,FALSE),"")</f>
        <v/>
      </c>
      <c r="AG20" s="549">
        <f>M20</f>
        <v>0</v>
      </c>
      <c r="AH20" s="529">
        <v>2</v>
      </c>
      <c r="AI20" s="418">
        <f t="shared" si="24"/>
        <v>2</v>
      </c>
      <c r="AJ20" s="420">
        <f t="shared" si="13"/>
        <v>0</v>
      </c>
      <c r="AO20" s="1107">
        <v>7.5</v>
      </c>
      <c r="AP20" s="1107">
        <v>8</v>
      </c>
      <c r="AT20" s="388">
        <f t="shared" si="1"/>
        <v>13</v>
      </c>
      <c r="AU20" s="1081" t="str">
        <f>AT20&amp;" "&amp;IF(AW20&lt;&gt;"-",【様式2】職員名簿!B52&amp;"/"&amp;AV20&amp;"/"&amp;AW20,"")</f>
        <v xml:space="preserve">13 </v>
      </c>
      <c r="AV20" s="1081">
        <f>【様式2】職員名簿!E52</f>
        <v>0</v>
      </c>
      <c r="AW20" s="1081" t="str">
        <f>IF(【様式2】職員名簿!J52="エラー","-",IF(AND(【様式2】職員名簿!C52=$AW$3,【様式2】職員名簿!J52=$AW$4),$AW$3,【様式2】職員名簿!J52))</f>
        <v>-</v>
      </c>
      <c r="AX20" s="392">
        <f>IF($AV20="常勤",$AM$2,IF($AV20="非常勤",【様式2】職員名簿!G52,0))</f>
        <v>0</v>
      </c>
      <c r="AY20" s="415">
        <f>IF($AW20=AY$3,COUNTIF($AW$8:$AW20,AY$3),0)</f>
        <v>0</v>
      </c>
      <c r="AZ20" s="416" t="str">
        <f t="shared" si="2"/>
        <v/>
      </c>
      <c r="BA20" s="388">
        <f>IF(OR($AW20=BA$3,$AW20=BA$4),COUNTIF($AW$8:$AW20,BA$3)+COUNTIF($AW$8:$AW20,BA$4),0)</f>
        <v>0</v>
      </c>
      <c r="BB20" s="416" t="str">
        <f t="shared" si="3"/>
        <v/>
      </c>
      <c r="BC20" s="418">
        <f>IF($AW20=BC$3,COUNTIF($AW$8:$AW20,BC$3),0)</f>
        <v>0</v>
      </c>
      <c r="BD20" s="416" t="str">
        <f t="shared" si="4"/>
        <v/>
      </c>
      <c r="BE20" s="388">
        <f>IF(OR($AW20=BE$3,$AW20=BE$4),COUNTIF($AW$8:$AW20,BE$3)+COUNTIF($AW$8:$AW20,BE$4),0)</f>
        <v>0</v>
      </c>
      <c r="BF20" s="416" t="str">
        <f t="shared" si="5"/>
        <v/>
      </c>
      <c r="BG20" s="388">
        <f>IF($AW20=BG$4,COUNTIFS($AV$8:$AV20,BG$3,$AW$8:$AW20,BG$4),0)</f>
        <v>0</v>
      </c>
      <c r="BH20" s="416" t="str">
        <f t="shared" si="6"/>
        <v/>
      </c>
      <c r="BI20" s="388">
        <f>IF($AW20=BI$3,COUNTIF($AW$8:$AW20,BI$3),0)</f>
        <v>0</v>
      </c>
      <c r="BJ20" s="416" t="str">
        <f t="shared" si="7"/>
        <v/>
      </c>
      <c r="BK20" s="388">
        <f>IF($AW20=BK$3,COUNTIF($AW$8:$AW20,BK$3),0)</f>
        <v>0</v>
      </c>
      <c r="BL20" s="416" t="str">
        <f t="shared" si="8"/>
        <v/>
      </c>
      <c r="BM20" s="388">
        <f>IF($AW20&lt;&gt;BM$3,COUNTIF($AW$8:$AW20,"&lt;&gt;"&amp;BM$3),0)</f>
        <v>0</v>
      </c>
      <c r="BN20" s="416" t="str">
        <f t="shared" si="9"/>
        <v/>
      </c>
      <c r="BO20" s="388">
        <f>IF($AW20=BO$3,COUNTIF($AW$8:$AW20,BO$3),0)</f>
        <v>0</v>
      </c>
      <c r="BP20" s="416" t="str">
        <f t="shared" si="10"/>
        <v/>
      </c>
      <c r="BQ20" s="381"/>
      <c r="BR20" s="381"/>
    </row>
    <row r="21" spans="1:70" s="386" customFormat="1" ht="15" customHeight="1">
      <c r="A21" s="2164"/>
      <c r="B21" s="2180"/>
      <c r="C21" s="2534"/>
      <c r="D21" s="2536"/>
      <c r="E21" s="774" t="str">
        <f>IF(W21,T21,"")</f>
        <v/>
      </c>
      <c r="F21" s="2173" t="str">
        <f>IF(W21,BR10,"")</f>
        <v/>
      </c>
      <c r="G21" s="2174"/>
      <c r="H21" s="2174"/>
      <c r="I21" s="861" t="str">
        <f t="shared" si="15"/>
        <v/>
      </c>
      <c r="J21" s="1009" t="str">
        <f t="shared" si="16"/>
        <v/>
      </c>
      <c r="K21" s="773" t="s">
        <v>802</v>
      </c>
      <c r="L21" s="884" t="str">
        <f t="shared" si="17"/>
        <v/>
      </c>
      <c r="M21" s="610" t="s">
        <v>832</v>
      </c>
      <c r="N21" s="757" t="str">
        <f t="shared" ref="N21:N27" si="26">IF(Q21,"○","×")</f>
        <v>×</v>
      </c>
      <c r="O21" s="2538" t="str">
        <f t="shared" si="18"/>
        <v>-</v>
      </c>
      <c r="P21" s="419"/>
      <c r="Q21" s="759" t="b">
        <f>R21</f>
        <v>0</v>
      </c>
      <c r="R21" s="758" t="b">
        <f>R17=3</f>
        <v>0</v>
      </c>
      <c r="S21" s="529" t="b">
        <f>AND(J21="○",$O$103&gt;=0)</f>
        <v>0</v>
      </c>
      <c r="T21" s="529" t="str">
        <f>$BR$6</f>
        <v>業務委託</v>
      </c>
      <c r="U21" s="526">
        <f>BS10</f>
        <v>0</v>
      </c>
      <c r="V21" s="542">
        <v>3</v>
      </c>
      <c r="W21" s="529" t="b">
        <f>R21</f>
        <v>0</v>
      </c>
      <c r="X21" s="520" t="b">
        <f t="shared" ca="1" si="12"/>
        <v>0</v>
      </c>
      <c r="Y21" s="500" t="b">
        <f>COUNTIF($AC$15:AC20,AC21)+COUNTIF(AC22:$AC$69,AC21)-COUNTIF(Z21:AB21,AC21)=0</f>
        <v>0</v>
      </c>
      <c r="Z21" s="539" t="s">
        <v>801</v>
      </c>
      <c r="AA21" s="539" t="s">
        <v>801</v>
      </c>
      <c r="AB21" s="539" t="s">
        <v>801</v>
      </c>
      <c r="AC21" s="499">
        <f t="shared" si="19"/>
        <v>0</v>
      </c>
      <c r="AD21" s="521" t="b">
        <f t="shared" si="20"/>
        <v>0</v>
      </c>
      <c r="AE21" s="550" t="b">
        <f t="shared" si="21"/>
        <v>0</v>
      </c>
      <c r="AF21" s="529" t="s">
        <v>801</v>
      </c>
      <c r="AG21" s="529" t="s">
        <v>801</v>
      </c>
      <c r="AH21" s="529">
        <v>2</v>
      </c>
      <c r="AI21" s="418">
        <f t="shared" si="24"/>
        <v>2</v>
      </c>
      <c r="AJ21" s="420">
        <f t="shared" si="13"/>
        <v>0</v>
      </c>
      <c r="AO21"/>
      <c r="AP21"/>
      <c r="AT21" s="388">
        <f t="shared" si="1"/>
        <v>14</v>
      </c>
      <c r="AU21" s="1081" t="str">
        <f>AT21&amp;" "&amp;IF(AW21&lt;&gt;"-",【様式2】職員名簿!B53&amp;"/"&amp;AV21&amp;"/"&amp;AW21,"")</f>
        <v xml:space="preserve">14 </v>
      </c>
      <c r="AV21" s="1081">
        <f>【様式2】職員名簿!E53</f>
        <v>0</v>
      </c>
      <c r="AW21" s="1081" t="str">
        <f>IF(【様式2】職員名簿!J53="エラー","-",IF(AND(【様式2】職員名簿!C53=$AW$3,【様式2】職員名簿!J53=$AW$4),$AW$3,【様式2】職員名簿!J53))</f>
        <v>-</v>
      </c>
      <c r="AX21" s="392">
        <f>IF($AV21="常勤",$AM$2,IF($AV21="非常勤",【様式2】職員名簿!G53,0))</f>
        <v>0</v>
      </c>
      <c r="AY21" s="415">
        <f>IF($AW21=AY$3,COUNTIF($AW$8:$AW21,AY$3),0)</f>
        <v>0</v>
      </c>
      <c r="AZ21" s="416" t="str">
        <f t="shared" si="2"/>
        <v/>
      </c>
      <c r="BA21" s="388">
        <f>IF(OR($AW21=BA$3,$AW21=BA$4),COUNTIF($AW$8:$AW21,BA$3)+COUNTIF($AW$8:$AW21,BA$4),0)</f>
        <v>0</v>
      </c>
      <c r="BB21" s="416" t="str">
        <f t="shared" si="3"/>
        <v/>
      </c>
      <c r="BC21" s="418">
        <f>IF($AW21=BC$3,COUNTIF($AW$8:$AW21,BC$3),0)</f>
        <v>0</v>
      </c>
      <c r="BD21" s="416" t="str">
        <f t="shared" si="4"/>
        <v/>
      </c>
      <c r="BE21" s="388">
        <f>IF(OR($AW21=BE$3,$AW21=BE$4),COUNTIF($AW$8:$AW21,BE$3)+COUNTIF($AW$8:$AW21,BE$4),0)</f>
        <v>0</v>
      </c>
      <c r="BF21" s="416" t="str">
        <f t="shared" si="5"/>
        <v/>
      </c>
      <c r="BG21" s="388">
        <f>IF($AW21=BG$4,COUNTIFS($AV$8:$AV21,BG$3,$AW$8:$AW21,BG$4),0)</f>
        <v>0</v>
      </c>
      <c r="BH21" s="416" t="str">
        <f t="shared" si="6"/>
        <v/>
      </c>
      <c r="BI21" s="388">
        <f>IF($AW21=BI$3,COUNTIF($AW$8:$AW21,BI$3),0)</f>
        <v>0</v>
      </c>
      <c r="BJ21" s="416" t="str">
        <f t="shared" si="7"/>
        <v/>
      </c>
      <c r="BK21" s="388">
        <f>IF($AW21=BK$3,COUNTIF($AW$8:$AW21,BK$3),0)</f>
        <v>0</v>
      </c>
      <c r="BL21" s="416" t="str">
        <f t="shared" si="8"/>
        <v/>
      </c>
      <c r="BM21" s="388">
        <f>IF($AW21&lt;&gt;BM$3,COUNTIF($AW$8:$AW21,"&lt;&gt;"&amp;BM$3),0)</f>
        <v>0</v>
      </c>
      <c r="BN21" s="416" t="str">
        <f t="shared" si="9"/>
        <v/>
      </c>
      <c r="BO21" s="388">
        <f>IF($AW21=BO$3,COUNTIF($AW$8:$AW21,BO$3),0)</f>
        <v>0</v>
      </c>
      <c r="BP21" s="416" t="str">
        <f t="shared" si="10"/>
        <v/>
      </c>
      <c r="BQ21" s="381"/>
      <c r="BR21" s="381"/>
    </row>
    <row r="22" spans="1:70" s="386" customFormat="1" ht="15" customHeight="1">
      <c r="A22" s="2165"/>
      <c r="B22" s="2168" t="str">
        <f>"学校医【"&amp;IF(R22=1,"雇用",IF(R22=2,"嘱託","-"))&amp;"】"</f>
        <v>学校医【-】</v>
      </c>
      <c r="C22" s="2169"/>
      <c r="D22" s="2190" t="str">
        <f t="shared" ref="D22:D30" si="27">IF(W22,T22,"")</f>
        <v/>
      </c>
      <c r="E22" s="2191"/>
      <c r="F22" s="2419"/>
      <c r="G22" s="2420"/>
      <c r="H22" s="2420"/>
      <c r="I22" s="862" t="str">
        <f t="shared" si="15"/>
        <v/>
      </c>
      <c r="J22" s="1011" t="str">
        <f t="shared" si="16"/>
        <v/>
      </c>
      <c r="K22" s="845" t="s">
        <v>802</v>
      </c>
      <c r="L22" s="1000" t="str">
        <f>IF(AI22=1,"調整①→",IF(AI22=5,"調整②→",IF(AI22=2,"",IF(AI22=3,"全計上→","エラー"))))</f>
        <v/>
      </c>
      <c r="M22" s="611">
        <f>IF(OR(AND(J22&lt;&gt;"○",J22&lt;&gt;""),AI22=4),"×",IF(J22="",0,AJ22/$AM$2))</f>
        <v>0</v>
      </c>
      <c r="N22" s="1006" t="str">
        <f t="shared" si="26"/>
        <v>○</v>
      </c>
      <c r="O22" s="989" t="str">
        <f t="shared" ref="O22:O37" si="28">IF(Q22,IF(S22,"○","×"),"-")</f>
        <v>×</v>
      </c>
      <c r="P22" s="419"/>
      <c r="Q22" s="529" t="b">
        <f>TRUE()</f>
        <v>1</v>
      </c>
      <c r="R22" s="533">
        <f>IF(【様式１】総括表・個票!AI63,1,IF(【様式１】総括表・個票!AI64,2,0))</f>
        <v>0</v>
      </c>
      <c r="S22" s="529" t="b">
        <f>OR(R22=2,AND(R22=1,J22="○"))</f>
        <v>0</v>
      </c>
      <c r="T22" s="529" t="str">
        <f>$BL$6</f>
        <v>学校医</v>
      </c>
      <c r="U22" s="417">
        <f>IFERROR(VLOOKUP($F22,$AU$8:$AX$107,4,FALSE),0)</f>
        <v>0</v>
      </c>
      <c r="V22" s="529">
        <v>2</v>
      </c>
      <c r="W22" s="529" t="b">
        <f>R22=1</f>
        <v>0</v>
      </c>
      <c r="X22" s="520" t="b">
        <f t="shared" ca="1" si="12"/>
        <v>0</v>
      </c>
      <c r="Y22" s="500" t="b">
        <f>COUNTIF($AC$15:AC21,AC22)+COUNTIF(AC23:$AC$69,AC22)-COUNTIF(Z22:AB22,AC22)=0</f>
        <v>0</v>
      </c>
      <c r="Z22" s="539" t="s">
        <v>801</v>
      </c>
      <c r="AA22" s="539" t="s">
        <v>801</v>
      </c>
      <c r="AB22" s="539" t="s">
        <v>801</v>
      </c>
      <c r="AC22" s="536">
        <f t="shared" si="19"/>
        <v>0</v>
      </c>
      <c r="AD22" s="418" t="b">
        <f t="shared" si="20"/>
        <v>0</v>
      </c>
      <c r="AE22" s="392" t="b">
        <f t="shared" si="21"/>
        <v>0</v>
      </c>
      <c r="AF22" s="529" t="s">
        <v>801</v>
      </c>
      <c r="AG22" s="529" t="s">
        <v>801</v>
      </c>
      <c r="AH22" s="529">
        <v>2</v>
      </c>
      <c r="AI22" s="418">
        <f t="shared" si="24"/>
        <v>2</v>
      </c>
      <c r="AJ22" s="420">
        <f t="shared" si="13"/>
        <v>0</v>
      </c>
      <c r="AK22" s="387"/>
      <c r="AL22" s="387"/>
      <c r="AO22"/>
      <c r="AP22"/>
      <c r="AT22" s="388">
        <f t="shared" si="1"/>
        <v>15</v>
      </c>
      <c r="AU22" s="1081" t="str">
        <f>AT22&amp;" "&amp;IF(AW22&lt;&gt;"-",【様式2】職員名簿!B54&amp;"/"&amp;AV22&amp;"/"&amp;AW22,"")</f>
        <v xml:space="preserve">15 </v>
      </c>
      <c r="AV22" s="1081">
        <f>【様式2】職員名簿!E54</f>
        <v>0</v>
      </c>
      <c r="AW22" s="1081" t="str">
        <f>IF(【様式2】職員名簿!J54="エラー","-",IF(AND(【様式2】職員名簿!C54=$AW$3,【様式2】職員名簿!J54=$AW$4),$AW$3,【様式2】職員名簿!J54))</f>
        <v>-</v>
      </c>
      <c r="AX22" s="392">
        <f>IF($AV22="常勤",$AM$2,IF($AV22="非常勤",【様式2】職員名簿!G54,0))</f>
        <v>0</v>
      </c>
      <c r="AY22" s="415">
        <f>IF($AW22=AY$3,COUNTIF($AW$8:$AW22,AY$3),0)</f>
        <v>0</v>
      </c>
      <c r="AZ22" s="416" t="str">
        <f t="shared" si="2"/>
        <v/>
      </c>
      <c r="BA22" s="388">
        <f>IF(OR($AW22=BA$3,$AW22=BA$4),COUNTIF($AW$8:$AW22,BA$3)+COUNTIF($AW$8:$AW22,BA$4),0)</f>
        <v>0</v>
      </c>
      <c r="BB22" s="416" t="str">
        <f t="shared" si="3"/>
        <v/>
      </c>
      <c r="BC22" s="418">
        <f>IF($AW22=BC$3,COUNTIF($AW$8:$AW22,BC$3),0)</f>
        <v>0</v>
      </c>
      <c r="BD22" s="416" t="str">
        <f t="shared" si="4"/>
        <v/>
      </c>
      <c r="BE22" s="388">
        <f>IF(OR($AW22=BE$3,$AW22=BE$4),COUNTIF($AW$8:$AW22,BE$3)+COUNTIF($AW$8:$AW22,BE$4),0)</f>
        <v>0</v>
      </c>
      <c r="BF22" s="416" t="str">
        <f t="shared" si="5"/>
        <v/>
      </c>
      <c r="BG22" s="388">
        <f>IF($AW22=BG$4,COUNTIFS($AV$8:$AV22,BG$3,$AW$8:$AW22,BG$4),0)</f>
        <v>0</v>
      </c>
      <c r="BH22" s="416" t="str">
        <f t="shared" si="6"/>
        <v/>
      </c>
      <c r="BI22" s="388">
        <f>IF($AW22=BI$3,COUNTIF($AW$8:$AW22,BI$3),0)</f>
        <v>0</v>
      </c>
      <c r="BJ22" s="416" t="str">
        <f t="shared" si="7"/>
        <v/>
      </c>
      <c r="BK22" s="388">
        <f>IF($AW22=BK$3,COUNTIF($AW$8:$AW22,BK$3),0)</f>
        <v>0</v>
      </c>
      <c r="BL22" s="416" t="str">
        <f t="shared" si="8"/>
        <v/>
      </c>
      <c r="BM22" s="388">
        <f>IF($AW22&lt;&gt;BM$3,COUNTIF($AW$8:$AW22,"&lt;&gt;"&amp;BM$3),0)</f>
        <v>0</v>
      </c>
      <c r="BN22" s="416" t="str">
        <f t="shared" si="9"/>
        <v/>
      </c>
      <c r="BO22" s="388">
        <f>IF($AW22=BO$3,COUNTIF($AW$8:$AW22,BO$3),0)</f>
        <v>0</v>
      </c>
      <c r="BP22" s="416" t="str">
        <f t="shared" si="10"/>
        <v/>
      </c>
      <c r="BQ22" s="381"/>
      <c r="BR22" s="381"/>
    </row>
    <row r="23" spans="1:70" s="386" customFormat="1" ht="15" customHeight="1">
      <c r="A23" s="2163" t="s">
        <v>762</v>
      </c>
      <c r="B23" s="2179" t="s">
        <v>112</v>
      </c>
      <c r="C23" s="755" t="s">
        <v>866</v>
      </c>
      <c r="D23" s="1584" t="str">
        <f>IF(W23,T23,"")</f>
        <v/>
      </c>
      <c r="E23" s="2122"/>
      <c r="F23" s="2155"/>
      <c r="G23" s="2156"/>
      <c r="H23" s="2156"/>
      <c r="I23" s="861" t="str">
        <f t="shared" si="15"/>
        <v/>
      </c>
      <c r="J23" s="1012" t="str">
        <f t="shared" si="16"/>
        <v/>
      </c>
      <c r="K23" s="997" t="s">
        <v>805</v>
      </c>
      <c r="L23" s="885" t="str">
        <f>IF(AI23=1,"調整①→",IF(AI23=5,"調整②→",IF(AI23=2,"",IF(AI23=3,"全計上→","エラー"))))</f>
        <v/>
      </c>
      <c r="M23" s="883">
        <f t="shared" ref="M23:M24" si="29">IF(OR(AND(J23&lt;&gt;"○",J23&lt;&gt;""),AI23=4),"×",IF(J23="",0,AJ23/$AM$2))</f>
        <v>0</v>
      </c>
      <c r="N23" s="1005" t="str">
        <f t="shared" si="26"/>
        <v>×</v>
      </c>
      <c r="O23" s="2188" t="str">
        <f>IF(Q23,IF(S23,"○","×"),"-")</f>
        <v>-</v>
      </c>
      <c r="P23" s="419"/>
      <c r="Q23" s="821" t="b">
        <f>【様式１】総括表・個票!AI73</f>
        <v>0</v>
      </c>
      <c r="R23" s="533" t="s">
        <v>707</v>
      </c>
      <c r="S23" s="2183" t="b">
        <f>AND(J23="○",OR(AND(W24,J24="○"),NOT(W24)),O89&gt;=0)</f>
        <v>0</v>
      </c>
      <c r="T23" s="529" t="str">
        <f>$BP$6</f>
        <v>副園長</v>
      </c>
      <c r="U23" s="417">
        <f>IFERROR(VLOOKUP($F23,$AU$8:$AX$107,4,FALSE),0)</f>
        <v>0</v>
      </c>
      <c r="V23" s="529">
        <v>1</v>
      </c>
      <c r="W23" s="529" t="b">
        <f>Q23</f>
        <v>0</v>
      </c>
      <c r="X23" s="520" t="b">
        <f t="shared" ca="1" si="12"/>
        <v>0</v>
      </c>
      <c r="Y23" s="500" t="b">
        <f>COUNTIF($AC$15:AC22,AC23)+COUNTIF(AC24:$AC$69,AC23)-COUNTIF(Z23:AB23,AC23)=0</f>
        <v>0</v>
      </c>
      <c r="Z23" s="539">
        <f>AC29</f>
        <v>0</v>
      </c>
      <c r="AA23" s="539" t="s">
        <v>801</v>
      </c>
      <c r="AB23" s="539" t="s">
        <v>801</v>
      </c>
      <c r="AC23" s="536">
        <f t="shared" si="19"/>
        <v>0</v>
      </c>
      <c r="AD23" s="418" t="b">
        <f t="shared" si="20"/>
        <v>0</v>
      </c>
      <c r="AE23" s="392" t="b">
        <f t="shared" si="21"/>
        <v>0</v>
      </c>
      <c r="AF23" s="529" t="s">
        <v>801</v>
      </c>
      <c r="AG23" s="529" t="s">
        <v>801</v>
      </c>
      <c r="AH23" s="529">
        <v>1</v>
      </c>
      <c r="AI23" s="418">
        <f t="shared" si="24"/>
        <v>2</v>
      </c>
      <c r="AJ23" s="420">
        <f t="shared" si="13"/>
        <v>0</v>
      </c>
      <c r="AK23" s="387"/>
      <c r="AL23" s="387"/>
      <c r="AO23"/>
      <c r="AP23"/>
      <c r="AT23" s="388">
        <f t="shared" si="1"/>
        <v>16</v>
      </c>
      <c r="AU23" s="1081" t="str">
        <f>AT23&amp;" "&amp;IF(AW23&lt;&gt;"-",【様式2】職員名簿!B55&amp;"/"&amp;AV23&amp;"/"&amp;AW23,"")</f>
        <v xml:space="preserve">16 </v>
      </c>
      <c r="AV23" s="1081">
        <f>【様式2】職員名簿!E55</f>
        <v>0</v>
      </c>
      <c r="AW23" s="1081" t="str">
        <f>IF(【様式2】職員名簿!J55="エラー","-",IF(AND(【様式2】職員名簿!C55=$AW$3,【様式2】職員名簿!J55=$AW$4),$AW$3,【様式2】職員名簿!J55))</f>
        <v>-</v>
      </c>
      <c r="AX23" s="392">
        <f>IF($AV23="常勤",$AM$2,IF($AV23="非常勤",【様式2】職員名簿!G55,0))</f>
        <v>0</v>
      </c>
      <c r="AY23" s="415">
        <f>IF($AW23=AY$3,COUNTIF($AW$8:$AW23,AY$3),0)</f>
        <v>0</v>
      </c>
      <c r="AZ23" s="416" t="str">
        <f t="shared" si="2"/>
        <v/>
      </c>
      <c r="BA23" s="388">
        <f>IF(OR($AW23=BA$3,$AW23=BA$4),COUNTIF($AW$8:$AW23,BA$3)+COUNTIF($AW$8:$AW23,BA$4),0)</f>
        <v>0</v>
      </c>
      <c r="BB23" s="416" t="str">
        <f t="shared" si="3"/>
        <v/>
      </c>
      <c r="BC23" s="418">
        <f>IF($AW23=BC$3,COUNTIF($AW$8:$AW23,BC$3),0)</f>
        <v>0</v>
      </c>
      <c r="BD23" s="416" t="str">
        <f t="shared" si="4"/>
        <v/>
      </c>
      <c r="BE23" s="388">
        <f>IF(OR($AW23=BE$3,$AW23=BE$4),COUNTIF($AW$8:$AW23,BE$3)+COUNTIF($AW$8:$AW23,BE$4),0)</f>
        <v>0</v>
      </c>
      <c r="BF23" s="416" t="str">
        <f t="shared" si="5"/>
        <v/>
      </c>
      <c r="BG23" s="388">
        <f>IF($AW23=BG$4,COUNTIFS($AV$8:$AV23,BG$3,$AW$8:$AW23,BG$4),0)</f>
        <v>0</v>
      </c>
      <c r="BH23" s="416" t="str">
        <f t="shared" si="6"/>
        <v/>
      </c>
      <c r="BI23" s="388">
        <f>IF($AW23=BI$3,COUNTIF($AW$8:$AW23,BI$3),0)</f>
        <v>0</v>
      </c>
      <c r="BJ23" s="416" t="str">
        <f t="shared" si="7"/>
        <v/>
      </c>
      <c r="BK23" s="388">
        <f>IF($AW23=BK$3,COUNTIF($AW$8:$AW23,BK$3),0)</f>
        <v>0</v>
      </c>
      <c r="BL23" s="416" t="str">
        <f t="shared" si="8"/>
        <v/>
      </c>
      <c r="BM23" s="388">
        <f>IF($AW23&lt;&gt;BM$3,COUNTIF($AW$8:$AW23,"&lt;&gt;"&amp;BM$3),0)</f>
        <v>0</v>
      </c>
      <c r="BN23" s="416" t="str">
        <f t="shared" si="9"/>
        <v/>
      </c>
      <c r="BO23" s="388">
        <f>IF($AW23=BO$3,COUNTIF($AW$8:$AW23,BO$3),0)</f>
        <v>0</v>
      </c>
      <c r="BP23" s="416" t="str">
        <f t="shared" si="10"/>
        <v/>
      </c>
      <c r="BQ23" s="381"/>
      <c r="BR23" s="381"/>
    </row>
    <row r="24" spans="1:70" s="386" customFormat="1" ht="15" customHeight="1">
      <c r="A24" s="2164"/>
      <c r="B24" s="2180"/>
      <c r="C24" s="754" t="str">
        <f>IF(W24,"補助教諭","")</f>
        <v/>
      </c>
      <c r="D24" s="2123" t="str">
        <f>IF(W24,T24,"")</f>
        <v/>
      </c>
      <c r="E24" s="2124"/>
      <c r="F24" s="2384"/>
      <c r="G24" s="2385"/>
      <c r="H24" s="2385"/>
      <c r="I24" s="863" t="str">
        <f t="shared" si="15"/>
        <v/>
      </c>
      <c r="J24" s="853" t="str">
        <f t="shared" si="16"/>
        <v/>
      </c>
      <c r="K24" s="774" t="s">
        <v>802</v>
      </c>
      <c r="L24" s="886" t="str">
        <f>IF(AI24=1,"調整①→",IF(AI24=5,"調整②→",IF(AI24=2,"",IF(AI24=3,"全計上→","エラー"))))</f>
        <v/>
      </c>
      <c r="M24" s="612">
        <f t="shared" si="29"/>
        <v>0</v>
      </c>
      <c r="N24" s="757" t="str">
        <f>IF(Q24,"○","×")</f>
        <v>×</v>
      </c>
      <c r="O24" s="2289" t="str">
        <f t="shared" si="28"/>
        <v>-</v>
      </c>
      <c r="P24" s="419"/>
      <c r="Q24" s="759" t="b">
        <f>AND(Q23,R24)</f>
        <v>0</v>
      </c>
      <c r="R24" s="533" t="b">
        <f>AND(M16&lt;1,【様式１】総括表・個票!AA80="×",【様式１】総括表・個票!AA79="×")</f>
        <v>0</v>
      </c>
      <c r="S24" s="2184"/>
      <c r="T24" s="529" t="str">
        <f t="shared" ref="T24:T35" si="30">$BB$6</f>
        <v>教諭</v>
      </c>
      <c r="U24" s="417">
        <f>IFERROR(VLOOKUP($F24,$AU$8:$AX$107,4,FALSE),0)</f>
        <v>0</v>
      </c>
      <c r="V24" s="529">
        <v>1</v>
      </c>
      <c r="W24" s="529" t="b">
        <f>Q24</f>
        <v>0</v>
      </c>
      <c r="X24" s="520" t="b">
        <f t="shared" ca="1" si="12"/>
        <v>0</v>
      </c>
      <c r="Y24" s="500" t="b">
        <f>COUNTIF($AC$15:AC23,AC24)+COUNTIF(AC25:$AC$69,AC24)-COUNTIF(Z24:AB24,AC24)=0</f>
        <v>0</v>
      </c>
      <c r="Z24" s="539" t="s">
        <v>801</v>
      </c>
      <c r="AA24" s="539" t="s">
        <v>801</v>
      </c>
      <c r="AB24" s="539" t="s">
        <v>801</v>
      </c>
      <c r="AC24" s="536">
        <f t="shared" si="19"/>
        <v>0</v>
      </c>
      <c r="AD24" s="418" t="b">
        <f t="shared" si="20"/>
        <v>0</v>
      </c>
      <c r="AE24" s="392" t="b">
        <f t="shared" si="21"/>
        <v>0</v>
      </c>
      <c r="AF24" s="529" t="s">
        <v>801</v>
      </c>
      <c r="AG24" s="529" t="s">
        <v>801</v>
      </c>
      <c r="AH24" s="529">
        <v>1</v>
      </c>
      <c r="AI24" s="418">
        <f t="shared" si="24"/>
        <v>2</v>
      </c>
      <c r="AJ24" s="420">
        <f t="shared" si="13"/>
        <v>0</v>
      </c>
      <c r="AK24" s="387"/>
      <c r="AL24" s="387"/>
      <c r="AT24" s="388">
        <f t="shared" si="1"/>
        <v>17</v>
      </c>
      <c r="AU24" s="1081" t="str">
        <f>AT24&amp;" "&amp;IF(AW24&lt;&gt;"-",【様式2】職員名簿!B56&amp;"/"&amp;AV24&amp;"/"&amp;AW24,"")</f>
        <v xml:space="preserve">17 </v>
      </c>
      <c r="AV24" s="1081">
        <f>【様式2】職員名簿!E56</f>
        <v>0</v>
      </c>
      <c r="AW24" s="1081" t="str">
        <f>IF(【様式2】職員名簿!J56="エラー","-",IF(AND(【様式2】職員名簿!C56=$AW$3,【様式2】職員名簿!J56=$AW$4),$AW$3,【様式2】職員名簿!J56))</f>
        <v>-</v>
      </c>
      <c r="AX24" s="392">
        <f>IF($AV24="常勤",$AM$2,IF($AV24="非常勤",【様式2】職員名簿!G56,0))</f>
        <v>0</v>
      </c>
      <c r="AY24" s="415">
        <f>IF($AW24=AY$3,COUNTIF($AW$8:$AW24,AY$3),0)</f>
        <v>0</v>
      </c>
      <c r="AZ24" s="416" t="str">
        <f t="shared" si="2"/>
        <v/>
      </c>
      <c r="BA24" s="388">
        <f>IF(OR($AW24=BA$3,$AW24=BA$4),COUNTIF($AW$8:$AW24,BA$3)+COUNTIF($AW$8:$AW24,BA$4),0)</f>
        <v>0</v>
      </c>
      <c r="BB24" s="416" t="str">
        <f t="shared" si="3"/>
        <v/>
      </c>
      <c r="BC24" s="418">
        <f>IF($AW24=BC$3,COUNTIF($AW$8:$AW24,BC$3),0)</f>
        <v>0</v>
      </c>
      <c r="BD24" s="416" t="str">
        <f t="shared" si="4"/>
        <v/>
      </c>
      <c r="BE24" s="388">
        <f>IF(OR($AW24=BE$3,$AW24=BE$4),COUNTIF($AW$8:$AW24,BE$3)+COUNTIF($AW$8:$AW24,BE$4),0)</f>
        <v>0</v>
      </c>
      <c r="BF24" s="416" t="str">
        <f t="shared" si="5"/>
        <v/>
      </c>
      <c r="BG24" s="388">
        <f>IF($AW24=BG$4,COUNTIFS($AV$8:$AV24,BG$3,$AW$8:$AW24,BG$4),0)</f>
        <v>0</v>
      </c>
      <c r="BH24" s="416" t="str">
        <f t="shared" si="6"/>
        <v/>
      </c>
      <c r="BI24" s="388">
        <f>IF($AW24=BI$3,COUNTIF($AW$8:$AW24,BI$3),0)</f>
        <v>0</v>
      </c>
      <c r="BJ24" s="416" t="str">
        <f t="shared" si="7"/>
        <v/>
      </c>
      <c r="BK24" s="388">
        <f>IF($AW24=BK$3,COUNTIF($AW$8:$AW24,BK$3),0)</f>
        <v>0</v>
      </c>
      <c r="BL24" s="416" t="str">
        <f t="shared" si="8"/>
        <v/>
      </c>
      <c r="BM24" s="388">
        <f>IF($AW24&lt;&gt;BM$3,COUNTIF($AW$8:$AW24,"&lt;&gt;"&amp;BM$3),0)</f>
        <v>0</v>
      </c>
      <c r="BN24" s="416" t="str">
        <f t="shared" si="9"/>
        <v/>
      </c>
      <c r="BO24" s="388">
        <f>IF($AW24=BO$3,COUNTIF($AW$8:$AW24,BO$3),0)</f>
        <v>0</v>
      </c>
      <c r="BP24" s="416" t="str">
        <f t="shared" si="10"/>
        <v/>
      </c>
      <c r="BQ24" s="381"/>
      <c r="BR24" s="381"/>
    </row>
    <row r="25" spans="1:70" s="386" customFormat="1" ht="15" customHeight="1">
      <c r="A25" s="2164"/>
      <c r="B25" s="2114" t="s">
        <v>127</v>
      </c>
      <c r="C25" s="2115"/>
      <c r="D25" s="2192" t="str">
        <f t="shared" si="27"/>
        <v/>
      </c>
      <c r="E25" s="2193"/>
      <c r="F25" s="2244" t="str">
        <f>IF(W25,"３歳児について1：15","３歳児について1：20")</f>
        <v>３歳児について1：20</v>
      </c>
      <c r="G25" s="2245"/>
      <c r="H25" s="2245"/>
      <c r="I25" s="2245"/>
      <c r="J25" s="2245"/>
      <c r="K25" s="2246"/>
      <c r="L25" s="870" t="s">
        <v>801</v>
      </c>
      <c r="M25" s="993" t="s">
        <v>802</v>
      </c>
      <c r="N25" s="613" t="str">
        <f t="shared" si="26"/>
        <v>×</v>
      </c>
      <c r="O25" s="805" t="str">
        <f t="shared" si="28"/>
        <v>-</v>
      </c>
      <c r="P25" s="419"/>
      <c r="Q25" s="529" t="b">
        <f>【様式１】総括表・個票!AI89</f>
        <v>0</v>
      </c>
      <c r="R25" s="533" t="s">
        <v>707</v>
      </c>
      <c r="S25" s="529" t="b">
        <f>O89&gt;=0</f>
        <v>1</v>
      </c>
      <c r="T25" s="529" t="str">
        <f t="shared" si="30"/>
        <v>教諭</v>
      </c>
      <c r="U25" s="417" t="s">
        <v>722</v>
      </c>
      <c r="V25" s="529" t="s">
        <v>829</v>
      </c>
      <c r="W25" s="529" t="b">
        <f>Q25</f>
        <v>0</v>
      </c>
      <c r="X25" s="520" t="s">
        <v>803</v>
      </c>
      <c r="Y25" s="500" t="s">
        <v>802</v>
      </c>
      <c r="Z25" s="539" t="s">
        <v>801</v>
      </c>
      <c r="AA25" s="539" t="s">
        <v>801</v>
      </c>
      <c r="AB25" s="539" t="s">
        <v>801</v>
      </c>
      <c r="AC25" s="499" t="s">
        <v>722</v>
      </c>
      <c r="AD25" s="418" t="b">
        <f t="shared" si="20"/>
        <v>1</v>
      </c>
      <c r="AE25" s="392" t="b">
        <f t="shared" si="21"/>
        <v>0</v>
      </c>
      <c r="AF25" s="529" t="s">
        <v>801</v>
      </c>
      <c r="AG25" s="529" t="s">
        <v>801</v>
      </c>
      <c r="AH25" s="529" t="s">
        <v>842</v>
      </c>
      <c r="AI25" s="418" t="s">
        <v>801</v>
      </c>
      <c r="AJ25" s="420" t="s">
        <v>801</v>
      </c>
      <c r="AK25" s="387"/>
      <c r="AL25" s="387"/>
      <c r="AT25" s="388">
        <f t="shared" si="1"/>
        <v>18</v>
      </c>
      <c r="AU25" s="1081" t="str">
        <f>AT25&amp;" "&amp;IF(AW25&lt;&gt;"-",【様式2】職員名簿!B57&amp;"/"&amp;AV25&amp;"/"&amp;AW25,"")</f>
        <v xml:space="preserve">18 </v>
      </c>
      <c r="AV25" s="1081">
        <f>【様式2】職員名簿!E57</f>
        <v>0</v>
      </c>
      <c r="AW25" s="1081" t="str">
        <f>IF(【様式2】職員名簿!J57="エラー","-",IF(AND(【様式2】職員名簿!C57=$AW$3,【様式2】職員名簿!J57=$AW$4),$AW$3,【様式2】職員名簿!J57))</f>
        <v>-</v>
      </c>
      <c r="AX25" s="392">
        <f>IF($AV25="常勤",$AM$2,IF($AV25="非常勤",【様式2】職員名簿!G57,0))</f>
        <v>0</v>
      </c>
      <c r="AY25" s="415">
        <f>IF($AW25=AY$3,COUNTIF($AW$8:$AW25,AY$3),0)</f>
        <v>0</v>
      </c>
      <c r="AZ25" s="416" t="str">
        <f t="shared" si="2"/>
        <v/>
      </c>
      <c r="BA25" s="388">
        <f>IF(OR($AW25=BA$3,$AW25=BA$4),COUNTIF($AW$8:$AW25,BA$3)+COUNTIF($AW$8:$AW25,BA$4),0)</f>
        <v>0</v>
      </c>
      <c r="BB25" s="416" t="str">
        <f t="shared" si="3"/>
        <v/>
      </c>
      <c r="BC25" s="418">
        <f>IF($AW25=BC$3,COUNTIF($AW$8:$AW25,BC$3),0)</f>
        <v>0</v>
      </c>
      <c r="BD25" s="416" t="str">
        <f t="shared" si="4"/>
        <v/>
      </c>
      <c r="BE25" s="388">
        <f>IF(OR($AW25=BE$3,$AW25=BE$4),COUNTIF($AW$8:$AW25,BE$3)+COUNTIF($AW$8:$AW25,BE$4),0)</f>
        <v>0</v>
      </c>
      <c r="BF25" s="416" t="str">
        <f t="shared" si="5"/>
        <v/>
      </c>
      <c r="BG25" s="388">
        <f>IF($AW25=BG$4,COUNTIFS($AV$8:$AV25,BG$3,$AW$8:$AW25,BG$4),0)</f>
        <v>0</v>
      </c>
      <c r="BH25" s="416" t="str">
        <f t="shared" si="6"/>
        <v/>
      </c>
      <c r="BI25" s="388">
        <f>IF($AW25=BI$3,COUNTIF($AW$8:$AW25,BI$3),0)</f>
        <v>0</v>
      </c>
      <c r="BJ25" s="416" t="str">
        <f t="shared" si="7"/>
        <v/>
      </c>
      <c r="BK25" s="388">
        <f>IF($AW25=BK$3,COUNTIF($AW$8:$AW25,BK$3),0)</f>
        <v>0</v>
      </c>
      <c r="BL25" s="416" t="str">
        <f t="shared" si="8"/>
        <v/>
      </c>
      <c r="BM25" s="388">
        <f>IF($AW25&lt;&gt;BM$3,COUNTIF($AW$8:$AW25,"&lt;&gt;"&amp;BM$3),0)</f>
        <v>0</v>
      </c>
      <c r="BN25" s="416" t="str">
        <f t="shared" si="9"/>
        <v/>
      </c>
      <c r="BO25" s="388">
        <f>IF($AW25=BO$3,COUNTIF($AW$8:$AW25,BO$3),0)</f>
        <v>0</v>
      </c>
      <c r="BP25" s="416" t="str">
        <f t="shared" si="10"/>
        <v/>
      </c>
      <c r="BQ25" s="381"/>
      <c r="BR25" s="381"/>
    </row>
    <row r="26" spans="1:70" s="386" customFormat="1" ht="15" customHeight="1">
      <c r="A26" s="2164"/>
      <c r="B26" s="2525" t="s">
        <v>1114</v>
      </c>
      <c r="C26" s="2526"/>
      <c r="D26" s="1197"/>
      <c r="E26" s="1198"/>
      <c r="F26" s="2244" t="str">
        <f>IF(N26="○","４歳以上児について1：25","４歳以上児について1：30")</f>
        <v>４歳以上児について1：30</v>
      </c>
      <c r="G26" s="2245"/>
      <c r="H26" s="2245"/>
      <c r="I26" s="2245"/>
      <c r="J26" s="2245"/>
      <c r="K26" s="2246"/>
      <c r="L26" s="870" t="s">
        <v>801</v>
      </c>
      <c r="M26" s="1196" t="s">
        <v>683</v>
      </c>
      <c r="N26" s="613" t="str">
        <f t="shared" si="26"/>
        <v>×</v>
      </c>
      <c r="O26" s="805" t="str">
        <f t="shared" si="28"/>
        <v>-</v>
      </c>
      <c r="P26" s="419"/>
      <c r="Q26" s="529" t="b">
        <f>【様式１】総括表・個票!AI95</f>
        <v>0</v>
      </c>
      <c r="R26" s="533" t="b">
        <f>【様式１】総括表・個票!AI118</f>
        <v>0</v>
      </c>
      <c r="S26" s="529" t="b">
        <f>O89&gt;=0</f>
        <v>1</v>
      </c>
      <c r="T26" s="529" t="str">
        <f t="shared" si="30"/>
        <v>教諭</v>
      </c>
      <c r="U26" s="417" t="s">
        <v>683</v>
      </c>
      <c r="V26" s="529" t="s">
        <v>683</v>
      </c>
      <c r="W26" s="529" t="b">
        <f>Q26</f>
        <v>0</v>
      </c>
      <c r="X26" s="520" t="s">
        <v>683</v>
      </c>
      <c r="Y26" s="500" t="s">
        <v>683</v>
      </c>
      <c r="Z26" s="1195" t="s">
        <v>801</v>
      </c>
      <c r="AA26" s="1195" t="s">
        <v>801</v>
      </c>
      <c r="AB26" s="1195" t="s">
        <v>801</v>
      </c>
      <c r="AC26" s="499" t="s">
        <v>683</v>
      </c>
      <c r="AD26" s="418" t="b">
        <f t="shared" ref="AD26" si="31">U26&gt;0</f>
        <v>1</v>
      </c>
      <c r="AE26" s="392" t="b">
        <f t="shared" si="21"/>
        <v>0</v>
      </c>
      <c r="AF26" s="529" t="s">
        <v>801</v>
      </c>
      <c r="AG26" s="529" t="s">
        <v>801</v>
      </c>
      <c r="AH26" s="529" t="s">
        <v>683</v>
      </c>
      <c r="AI26" s="418" t="s">
        <v>801</v>
      </c>
      <c r="AJ26" s="420" t="s">
        <v>801</v>
      </c>
      <c r="AK26" s="387"/>
      <c r="AL26" s="387"/>
      <c r="AT26" s="388">
        <f t="shared" si="1"/>
        <v>19</v>
      </c>
      <c r="AU26" s="1081" t="str">
        <f>AT26&amp;" "&amp;IF(AW26&lt;&gt;"-",【様式2】職員名簿!B58&amp;"/"&amp;AV26&amp;"/"&amp;AW26,"")</f>
        <v xml:space="preserve">19 </v>
      </c>
      <c r="AV26" s="1081">
        <f>【様式2】職員名簿!E58</f>
        <v>0</v>
      </c>
      <c r="AW26" s="1081" t="str">
        <f>IF(【様式2】職員名簿!J58="エラー","-",IF(AND(【様式2】職員名簿!C58=$AW$3,【様式2】職員名簿!J58=$AW$4),$AW$3,【様式2】職員名簿!J58))</f>
        <v>-</v>
      </c>
      <c r="AX26" s="392">
        <f>IF($AV26="常勤",$AM$2,IF($AV26="非常勤",【様式2】職員名簿!G58,0))</f>
        <v>0</v>
      </c>
      <c r="AY26" s="415">
        <f>IF($AW26=AY$3,COUNTIF($AW$8:$AW26,AY$3),0)</f>
        <v>0</v>
      </c>
      <c r="AZ26" s="416" t="str">
        <f t="shared" si="2"/>
        <v/>
      </c>
      <c r="BA26" s="388">
        <f>IF(OR($AW26=BA$3,$AW26=BA$4),COUNTIF($AW$8:$AW26,BA$3)+COUNTIF($AW$8:$AW26,BA$4),0)</f>
        <v>0</v>
      </c>
      <c r="BB26" s="416" t="str">
        <f t="shared" si="3"/>
        <v/>
      </c>
      <c r="BC26" s="418">
        <f>IF($AW26=BC$3,COUNTIF($AW$8:$AW26,BC$3),0)</f>
        <v>0</v>
      </c>
      <c r="BD26" s="416" t="str">
        <f t="shared" si="4"/>
        <v/>
      </c>
      <c r="BE26" s="388">
        <f>IF(OR($AW26=BE$3,$AW26=BE$4),COUNTIF($AW$8:$AW26,BE$3)+COUNTIF($AW$8:$AW26,BE$4),0)</f>
        <v>0</v>
      </c>
      <c r="BF26" s="416" t="str">
        <f t="shared" si="5"/>
        <v/>
      </c>
      <c r="BG26" s="388">
        <f>IF($AW26=BG$4,COUNTIFS($AV$8:$AV26,BG$3,$AW$8:$AW26,BG$4),0)</f>
        <v>0</v>
      </c>
      <c r="BH26" s="416" t="str">
        <f t="shared" si="6"/>
        <v/>
      </c>
      <c r="BI26" s="388">
        <f>IF($AW26=BI$3,COUNTIF($AW$8:$AW26,BI$3),0)</f>
        <v>0</v>
      </c>
      <c r="BJ26" s="416" t="str">
        <f t="shared" si="7"/>
        <v/>
      </c>
      <c r="BK26" s="388">
        <f>IF($AW26=BK$3,COUNTIF($AW$8:$AW26,BK$3),0)</f>
        <v>0</v>
      </c>
      <c r="BL26" s="416" t="str">
        <f t="shared" si="8"/>
        <v/>
      </c>
      <c r="BM26" s="388">
        <f>IF($AW26&lt;&gt;BM$3,COUNTIF($AW$8:$AW26,"&lt;&gt;"&amp;BM$3),0)</f>
        <v>0</v>
      </c>
      <c r="BN26" s="416" t="str">
        <f t="shared" si="9"/>
        <v/>
      </c>
      <c r="BO26" s="388">
        <f>IF($AW26=BO$3,COUNTIF($AW$8:$AW26,BO$3),0)</f>
        <v>0</v>
      </c>
      <c r="BP26" s="416" t="str">
        <f t="shared" si="10"/>
        <v/>
      </c>
      <c r="BQ26" s="381"/>
      <c r="BR26" s="381"/>
    </row>
    <row r="27" spans="1:70" s="386" customFormat="1" ht="15" customHeight="1">
      <c r="A27" s="2164"/>
      <c r="B27" s="2114" t="s">
        <v>128</v>
      </c>
      <c r="C27" s="2115"/>
      <c r="D27" s="2192" t="str">
        <f t="shared" si="27"/>
        <v/>
      </c>
      <c r="E27" s="2193"/>
      <c r="F27" s="2244" t="str">
        <f>IF(W27,"満３歳児について１：６","満３歳については３歳児に含める")</f>
        <v>満３歳については３歳児に含める</v>
      </c>
      <c r="G27" s="2245"/>
      <c r="H27" s="2245"/>
      <c r="I27" s="2245"/>
      <c r="J27" s="2245"/>
      <c r="K27" s="2246"/>
      <c r="L27" s="870" t="s">
        <v>801</v>
      </c>
      <c r="M27" s="993" t="s">
        <v>802</v>
      </c>
      <c r="N27" s="613" t="str">
        <f t="shared" si="26"/>
        <v>×</v>
      </c>
      <c r="O27" s="805" t="str">
        <f t="shared" si="28"/>
        <v>-</v>
      </c>
      <c r="P27" s="419"/>
      <c r="Q27" s="529" t="b">
        <f>【様式１】総括表・個票!AI102</f>
        <v>0</v>
      </c>
      <c r="R27" s="533" t="s">
        <v>707</v>
      </c>
      <c r="S27" s="529" t="b">
        <f>O89&gt;=0</f>
        <v>1</v>
      </c>
      <c r="T27" s="529" t="str">
        <f t="shared" si="30"/>
        <v>教諭</v>
      </c>
      <c r="U27" s="417" t="s">
        <v>724</v>
      </c>
      <c r="V27" s="529" t="s">
        <v>801</v>
      </c>
      <c r="W27" s="529" t="b">
        <f>Q27</f>
        <v>0</v>
      </c>
      <c r="X27" s="520" t="s">
        <v>802</v>
      </c>
      <c r="Y27" s="500" t="s">
        <v>805</v>
      </c>
      <c r="Z27" s="539" t="s">
        <v>801</v>
      </c>
      <c r="AA27" s="539" t="s">
        <v>801</v>
      </c>
      <c r="AB27" s="539" t="s">
        <v>801</v>
      </c>
      <c r="AC27" s="499" t="s">
        <v>722</v>
      </c>
      <c r="AD27" s="418" t="b">
        <f t="shared" si="20"/>
        <v>1</v>
      </c>
      <c r="AE27" s="392" t="b">
        <f t="shared" si="21"/>
        <v>0</v>
      </c>
      <c r="AF27" s="529" t="s">
        <v>801</v>
      </c>
      <c r="AG27" s="529" t="s">
        <v>801</v>
      </c>
      <c r="AH27" s="529" t="s">
        <v>801</v>
      </c>
      <c r="AI27" s="418" t="s">
        <v>801</v>
      </c>
      <c r="AJ27" s="420" t="s">
        <v>801</v>
      </c>
      <c r="AK27" s="387"/>
      <c r="AL27" s="387"/>
      <c r="AT27" s="388">
        <f t="shared" si="1"/>
        <v>20</v>
      </c>
      <c r="AU27" s="1081" t="str">
        <f>AT27&amp;" "&amp;IF(AW27&lt;&gt;"-",【様式2】職員名簿!B59&amp;"/"&amp;AV27&amp;"/"&amp;AW27,"")</f>
        <v xml:space="preserve">20 </v>
      </c>
      <c r="AV27" s="1081">
        <f>【様式2】職員名簿!E59</f>
        <v>0</v>
      </c>
      <c r="AW27" s="1081" t="str">
        <f>IF(【様式2】職員名簿!J59="エラー","-",IF(AND(【様式2】職員名簿!C59=$AW$3,【様式2】職員名簿!J59=$AW$4),$AW$3,【様式2】職員名簿!J59))</f>
        <v>-</v>
      </c>
      <c r="AX27" s="392">
        <f>IF($AV27="常勤",$AM$2,IF($AV27="非常勤",【様式2】職員名簿!G59,0))</f>
        <v>0</v>
      </c>
      <c r="AY27" s="415">
        <f>IF($AW27=AY$3,COUNTIF($AW$8:$AW27,AY$3),0)</f>
        <v>0</v>
      </c>
      <c r="AZ27" s="416" t="str">
        <f t="shared" si="2"/>
        <v/>
      </c>
      <c r="BA27" s="388">
        <f>IF(OR($AW27=BA$3,$AW27=BA$4),COUNTIF($AW$8:$AW27,BA$3)+COUNTIF($AW$8:$AW27,BA$4),0)</f>
        <v>0</v>
      </c>
      <c r="BB27" s="416" t="str">
        <f t="shared" si="3"/>
        <v/>
      </c>
      <c r="BC27" s="418">
        <f>IF($AW27=BC$3,COUNTIF($AW$8:$AW27,BC$3),0)</f>
        <v>0</v>
      </c>
      <c r="BD27" s="416" t="str">
        <f t="shared" si="4"/>
        <v/>
      </c>
      <c r="BE27" s="388">
        <f>IF(OR($AW27=BE$3,$AW27=BE$4),COUNTIF($AW$8:$AW27,BE$3)+COUNTIF($AW$8:$AW27,BE$4),0)</f>
        <v>0</v>
      </c>
      <c r="BF27" s="416" t="str">
        <f t="shared" si="5"/>
        <v/>
      </c>
      <c r="BG27" s="388">
        <f>IF($AW27=BG$4,COUNTIFS($AV$8:$AV27,BG$3,$AW$8:$AW27,BG$4),0)</f>
        <v>0</v>
      </c>
      <c r="BH27" s="416" t="str">
        <f t="shared" si="6"/>
        <v/>
      </c>
      <c r="BI27" s="388">
        <f>IF($AW27=BI$3,COUNTIF($AW$8:$AW27,BI$3),0)</f>
        <v>0</v>
      </c>
      <c r="BJ27" s="416" t="str">
        <f t="shared" si="7"/>
        <v/>
      </c>
      <c r="BK27" s="388">
        <f>IF($AW27=BK$3,COUNTIF($AW$8:$AW27,BK$3),0)</f>
        <v>0</v>
      </c>
      <c r="BL27" s="416" t="str">
        <f t="shared" si="8"/>
        <v/>
      </c>
      <c r="BM27" s="388">
        <f>IF($AW27&lt;&gt;BM$3,COUNTIF($AW$8:$AW27,"&lt;&gt;"&amp;BM$3),0)</f>
        <v>0</v>
      </c>
      <c r="BN27" s="416" t="str">
        <f t="shared" si="9"/>
        <v/>
      </c>
      <c r="BO27" s="388">
        <f>IF($AW27=BO$3,COUNTIF($AW$8:$AW27,BO$3),0)</f>
        <v>0</v>
      </c>
      <c r="BP27" s="416" t="str">
        <f t="shared" si="10"/>
        <v/>
      </c>
      <c r="BQ27" s="381"/>
      <c r="BR27" s="381"/>
    </row>
    <row r="28" spans="1:70" s="386" customFormat="1" ht="15" customHeight="1">
      <c r="A28" s="2164"/>
      <c r="B28" s="2114" t="s">
        <v>98</v>
      </c>
      <c r="C28" s="2115"/>
      <c r="D28" s="2192" t="str">
        <f t="shared" si="27"/>
        <v/>
      </c>
      <c r="E28" s="2193"/>
      <c r="F28" s="2171"/>
      <c r="G28" s="2171"/>
      <c r="H28" s="2172"/>
      <c r="I28" s="864" t="str">
        <f t="shared" ref="I28:I30" si="32">IF(OR(NOT(W28),U28=0),"",U28)</f>
        <v/>
      </c>
      <c r="J28" s="1010" t="str">
        <f>IF(OR(F28=0,F28=""),"",IF(W28,IF(X28,IF(OR(Y28,V28=3),IF(AD28,IF(OR(AE28,V28=2,V28=3),"○","要常勤"),"時間無"),"重複"),"名簿無"),"対象外"))</f>
        <v/>
      </c>
      <c r="K28" s="846" t="s">
        <v>802</v>
      </c>
      <c r="L28" s="870" t="str">
        <f t="shared" ref="L28:L30" si="33">IF(AI28=1,"調整①→",IF(AI28=5,"調整②→",IF(AI28=2,"",IF(AI28=3,"全計上→","エラー"))))</f>
        <v/>
      </c>
      <c r="M28" s="887">
        <f t="shared" ref="M28:M30" si="34">IF(OR(AND(J28&lt;&gt;"○",J28&lt;&gt;""),AI28=4),"×",IF(J28="",0,AJ28/$AM$2))</f>
        <v>0</v>
      </c>
      <c r="N28" s="613" t="str">
        <f t="shared" ref="N28:N34" si="35">IF(Q28,"○","×")</f>
        <v>×</v>
      </c>
      <c r="O28" s="805" t="str">
        <f t="shared" si="28"/>
        <v>-</v>
      </c>
      <c r="P28" s="419"/>
      <c r="Q28" s="529" t="b">
        <f>【様式１】総括表・個票!AI108</f>
        <v>0</v>
      </c>
      <c r="R28" s="533" t="b">
        <f>【様式１】総括表・個票!AI110</f>
        <v>1</v>
      </c>
      <c r="S28" s="529" t="b">
        <f>AND(J28="○",O89&gt;=0)</f>
        <v>0</v>
      </c>
      <c r="T28" s="529" t="str">
        <f t="shared" si="30"/>
        <v>教諭</v>
      </c>
      <c r="U28" s="417">
        <f>IFERROR(VLOOKUP($F28,$AU$8:$AX$107,4,FALSE),0)</f>
        <v>0</v>
      </c>
      <c r="V28" s="529">
        <v>2</v>
      </c>
      <c r="W28" s="529" t="b">
        <f>AND(Q28,R28)</f>
        <v>0</v>
      </c>
      <c r="X28" s="520" t="b">
        <f ca="1">COUNTIF(INDIRECT(T28),F28)&gt;0</f>
        <v>0</v>
      </c>
      <c r="Y28" s="500" t="b">
        <f>COUNTIF($AC$15:AC27,AC28)+COUNTIF(AC29:$AC$69,AC28)-IF(AND(ISNUMBER(Z28),Z28=AC28),1,0)=0</f>
        <v>0</v>
      </c>
      <c r="Z28" s="539" t="s">
        <v>801</v>
      </c>
      <c r="AA28" s="539" t="s">
        <v>801</v>
      </c>
      <c r="AB28" s="539" t="s">
        <v>801</v>
      </c>
      <c r="AC28" s="536">
        <f>IF(V28=3,0,IFERROR(INDEX($AT$8:$AT$107,MATCH($F28,AU$8:AU$107,0),1),0))</f>
        <v>0</v>
      </c>
      <c r="AD28" s="418" t="b">
        <f t="shared" si="20"/>
        <v>0</v>
      </c>
      <c r="AE28" s="392" t="b">
        <f t="shared" si="21"/>
        <v>0</v>
      </c>
      <c r="AF28" s="529" t="s">
        <v>801</v>
      </c>
      <c r="AG28" s="529" t="s">
        <v>801</v>
      </c>
      <c r="AH28" s="529">
        <v>1</v>
      </c>
      <c r="AI28" s="418">
        <f t="shared" ref="AI28:AI30" si="36">IF(AND($W28,$J28="○"),IF($K28="-",IF($U28&lt;IF($AH28=5,$AL$4,$AL$3),$AH28,2),IF($K28=0,IF($U28&lt;IF($AH28=5,$AL$4,$AL$3),IF(OR($AH28=1,$AH28=5),$AH28,3),3),IF(K28&lt;IF($AH28=5,$AL$4,$AL$3),$AH28,IF($K28&gt;$U28,4,2)))),2)</f>
        <v>2</v>
      </c>
      <c r="AJ28" s="420">
        <f t="shared" ref="AJ28:AJ30" si="37">IF(AI28=1,$AL$3,IF(AI28=5,$AL$4,IF(AI28=2,IF(K28="-",U28,K28),IF(AI28=3,U28,"×"))))</f>
        <v>0</v>
      </c>
      <c r="AK28" s="387"/>
      <c r="AT28" s="388">
        <f t="shared" si="1"/>
        <v>21</v>
      </c>
      <c r="AU28" s="1081" t="str">
        <f>AT28&amp;" "&amp;IF(AW28&lt;&gt;"-",【様式2】職員名簿!B60&amp;"/"&amp;AV28&amp;"/"&amp;AW28,"")</f>
        <v xml:space="preserve">21 </v>
      </c>
      <c r="AV28" s="1081">
        <f>【様式2】職員名簿!E60</f>
        <v>0</v>
      </c>
      <c r="AW28" s="1081" t="str">
        <f>IF(【様式2】職員名簿!J60="エラー","-",IF(AND(【様式2】職員名簿!C60=$AW$3,【様式2】職員名簿!J60=$AW$4),$AW$3,【様式2】職員名簿!J60))</f>
        <v>-</v>
      </c>
      <c r="AX28" s="392">
        <f>IF($AV28="常勤",$AM$2,IF($AV28="非常勤",【様式2】職員名簿!G60,0))</f>
        <v>0</v>
      </c>
      <c r="AY28" s="415">
        <f>IF($AW28=AY$3,COUNTIF($AW$8:$AW28,AY$3),0)</f>
        <v>0</v>
      </c>
      <c r="AZ28" s="416" t="str">
        <f t="shared" si="2"/>
        <v/>
      </c>
      <c r="BA28" s="388">
        <f>IF(OR($AW28=BA$3,$AW28=BA$4),COUNTIF($AW$8:$AW28,BA$3)+COUNTIF($AW$8:$AW28,BA$4),0)</f>
        <v>0</v>
      </c>
      <c r="BB28" s="416" t="str">
        <f t="shared" si="3"/>
        <v/>
      </c>
      <c r="BC28" s="418">
        <f>IF($AW28=BC$3,COUNTIF($AW$8:$AW28,BC$3),0)</f>
        <v>0</v>
      </c>
      <c r="BD28" s="416" t="str">
        <f t="shared" si="4"/>
        <v/>
      </c>
      <c r="BE28" s="388">
        <f>IF(OR($AW28=BE$3,$AW28=BE$4),COUNTIF($AW$8:$AW28,BE$3)+COUNTIF($AW$8:$AW28,BE$4),0)</f>
        <v>0</v>
      </c>
      <c r="BF28" s="416" t="str">
        <f t="shared" si="5"/>
        <v/>
      </c>
      <c r="BG28" s="388">
        <f>IF($AW28=BG$4,COUNTIFS($AV$8:$AV28,BG$3,$AW$8:$AW28,BG$4),0)</f>
        <v>0</v>
      </c>
      <c r="BH28" s="416" t="str">
        <f t="shared" si="6"/>
        <v/>
      </c>
      <c r="BI28" s="388">
        <f>IF($AW28=BI$3,COUNTIF($AW$8:$AW28,BI$3),0)</f>
        <v>0</v>
      </c>
      <c r="BJ28" s="416" t="str">
        <f t="shared" si="7"/>
        <v/>
      </c>
      <c r="BK28" s="388">
        <f>IF($AW28=BK$3,COUNTIF($AW$8:$AW28,BK$3),0)</f>
        <v>0</v>
      </c>
      <c r="BL28" s="416" t="str">
        <f t="shared" si="8"/>
        <v/>
      </c>
      <c r="BM28" s="388">
        <f>IF($AW28&lt;&gt;BM$3,COUNTIF($AW$8:$AW28,"&lt;&gt;"&amp;BM$3),0)</f>
        <v>0</v>
      </c>
      <c r="BN28" s="416" t="str">
        <f t="shared" si="9"/>
        <v/>
      </c>
      <c r="BO28" s="388">
        <f>IF($AW28=BO$3,COUNTIF($AW$8:$AW28,BO$3),0)</f>
        <v>0</v>
      </c>
      <c r="BP28" s="416" t="str">
        <f t="shared" si="10"/>
        <v/>
      </c>
      <c r="BQ28" s="381"/>
      <c r="BR28" s="381"/>
    </row>
    <row r="29" spans="1:70" s="386" customFormat="1" ht="15" customHeight="1">
      <c r="A29" s="2164"/>
      <c r="B29" s="2204" t="s">
        <v>52</v>
      </c>
      <c r="C29" s="753" t="s">
        <v>863</v>
      </c>
      <c r="D29" s="2190" t="str">
        <f t="shared" si="27"/>
        <v/>
      </c>
      <c r="E29" s="2191"/>
      <c r="F29" s="2170"/>
      <c r="G29" s="2170"/>
      <c r="H29" s="2155"/>
      <c r="I29" s="861" t="str">
        <f t="shared" si="32"/>
        <v/>
      </c>
      <c r="J29" s="1012" t="str">
        <f>IF(OR(F29=0,F29=""),"",IF(W29,IF(X29,IF(OR(Y29,V29=3),IF(AD29,IF(OR(AE29,V29=2,V29=3),"○","要常勤"),"時間無"),"重複"),"名簿無"),"対象外"))</f>
        <v/>
      </c>
      <c r="K29" s="997" t="s">
        <v>802</v>
      </c>
      <c r="L29" s="885" t="str">
        <f t="shared" si="33"/>
        <v/>
      </c>
      <c r="M29" s="883">
        <f t="shared" si="34"/>
        <v>0</v>
      </c>
      <c r="N29" s="2295" t="str">
        <f>IF(Q29,"○","×")</f>
        <v>×</v>
      </c>
      <c r="O29" s="2537" t="str">
        <f>IF(Q29,IF(S29,"○","×"),"-")</f>
        <v>-</v>
      </c>
      <c r="P29" s="419"/>
      <c r="Q29" s="2183" t="b">
        <f>【様式１】総括表・個票!AI213</f>
        <v>0</v>
      </c>
      <c r="R29" s="2183" t="s">
        <v>710</v>
      </c>
      <c r="S29" s="2183" t="b">
        <f>AND(J29="○",J30="○",$O$89&gt;=0)</f>
        <v>0</v>
      </c>
      <c r="T29" s="529" t="str">
        <f t="shared" si="30"/>
        <v>教諭</v>
      </c>
      <c r="U29" s="417">
        <f>IFERROR(VLOOKUP($F29,$AU$8:$AX$107,4,FALSE),0)</f>
        <v>0</v>
      </c>
      <c r="V29" s="529">
        <v>2</v>
      </c>
      <c r="W29" s="529" t="b">
        <f>Q29</f>
        <v>0</v>
      </c>
      <c r="X29" s="520" t="b">
        <f ca="1">COUNTIF(INDIRECT(T29),F29)&gt;0</f>
        <v>0</v>
      </c>
      <c r="Y29" s="500" t="b">
        <f>COUNTIF($AC$15:AC28,AC29)+COUNTIF(AC30:$AC$69,AC29)-IF(AND(ISNUMBER(Z29),Z29=AC29),1,0)=0</f>
        <v>0</v>
      </c>
      <c r="Z29" s="539">
        <f>AC23</f>
        <v>0</v>
      </c>
      <c r="AA29" s="539" t="s">
        <v>801</v>
      </c>
      <c r="AB29" s="539" t="s">
        <v>801</v>
      </c>
      <c r="AC29" s="536">
        <f>IF(V29=3,0,IFERROR(INDEX($AT$8:$AT$107,MATCH($F29,AU$8:AU$107,0),1),0))</f>
        <v>0</v>
      </c>
      <c r="AD29" s="418" t="b">
        <f t="shared" si="20"/>
        <v>0</v>
      </c>
      <c r="AE29" s="392" t="b">
        <f t="shared" si="21"/>
        <v>0</v>
      </c>
      <c r="AF29" s="529" t="s">
        <v>801</v>
      </c>
      <c r="AG29" s="529" t="s">
        <v>801</v>
      </c>
      <c r="AH29" s="529">
        <v>2</v>
      </c>
      <c r="AI29" s="418">
        <f t="shared" si="36"/>
        <v>2</v>
      </c>
      <c r="AJ29" s="420">
        <f t="shared" si="37"/>
        <v>0</v>
      </c>
      <c r="AK29" s="387"/>
      <c r="AT29" s="388">
        <f t="shared" si="1"/>
        <v>22</v>
      </c>
      <c r="AU29" s="1081" t="str">
        <f>AT29&amp;" "&amp;IF(AW29&lt;&gt;"-",【様式2】職員名簿!B61&amp;"/"&amp;AV29&amp;"/"&amp;AW29,"")</f>
        <v xml:space="preserve">22 </v>
      </c>
      <c r="AV29" s="1081">
        <f>【様式2】職員名簿!E61</f>
        <v>0</v>
      </c>
      <c r="AW29" s="1081" t="str">
        <f>IF(【様式2】職員名簿!J61="エラー","-",IF(AND(【様式2】職員名簿!C61=$AW$3,【様式2】職員名簿!J61=$AW$4),$AW$3,【様式2】職員名簿!J61))</f>
        <v>-</v>
      </c>
      <c r="AX29" s="392">
        <f>IF($AV29="常勤",$AM$2,IF($AV29="非常勤",【様式2】職員名簿!G61,0))</f>
        <v>0</v>
      </c>
      <c r="AY29" s="415">
        <f>IF($AW29=AY$3,COUNTIF($AW$8:$AW29,AY$3),0)</f>
        <v>0</v>
      </c>
      <c r="AZ29" s="416" t="str">
        <f t="shared" si="2"/>
        <v/>
      </c>
      <c r="BA29" s="388">
        <f>IF(OR($AW29=BA$3,$AW29=BA$4),COUNTIF($AW$8:$AW29,BA$3)+COUNTIF($AW$8:$AW29,BA$4),0)</f>
        <v>0</v>
      </c>
      <c r="BB29" s="416" t="str">
        <f t="shared" si="3"/>
        <v/>
      </c>
      <c r="BC29" s="418">
        <f>IF($AW29=BC$3,COUNTIF($AW$8:$AW29,BC$3),0)</f>
        <v>0</v>
      </c>
      <c r="BD29" s="416" t="str">
        <f t="shared" si="4"/>
        <v/>
      </c>
      <c r="BE29" s="388">
        <f>IF(OR($AW29=BE$3,$AW29=BE$4),COUNTIF($AW$8:$AW29,BE$3)+COUNTIF($AW$8:$AW29,BE$4),0)</f>
        <v>0</v>
      </c>
      <c r="BF29" s="416" t="str">
        <f t="shared" si="5"/>
        <v/>
      </c>
      <c r="BG29" s="388">
        <f>IF($AW29=BG$4,COUNTIFS($AV$8:$AV29,BG$3,$AW$8:$AW29,BG$4),0)</f>
        <v>0</v>
      </c>
      <c r="BH29" s="416" t="str">
        <f t="shared" si="6"/>
        <v/>
      </c>
      <c r="BI29" s="388">
        <f>IF($AW29=BI$3,COUNTIF($AW$8:$AW29,BI$3),0)</f>
        <v>0</v>
      </c>
      <c r="BJ29" s="416" t="str">
        <f t="shared" si="7"/>
        <v/>
      </c>
      <c r="BK29" s="388">
        <f>IF($AW29=BK$3,COUNTIF($AW$8:$AW29,BK$3),0)</f>
        <v>0</v>
      </c>
      <c r="BL29" s="416" t="str">
        <f t="shared" si="8"/>
        <v/>
      </c>
      <c r="BM29" s="388">
        <f>IF($AW29&lt;&gt;BM$3,COUNTIF($AW$8:$AW29,"&lt;&gt;"&amp;BM$3),0)</f>
        <v>0</v>
      </c>
      <c r="BN29" s="416" t="str">
        <f t="shared" si="9"/>
        <v/>
      </c>
      <c r="BO29" s="388">
        <f>IF($AW29=BO$3,COUNTIF($AW$8:$AW29,BO$3),0)</f>
        <v>0</v>
      </c>
      <c r="BP29" s="416" t="str">
        <f t="shared" si="10"/>
        <v/>
      </c>
      <c r="BQ29" s="381"/>
      <c r="BR29" s="381"/>
    </row>
    <row r="30" spans="1:70" s="386" customFormat="1" ht="15" customHeight="1">
      <c r="A30" s="2164"/>
      <c r="B30" s="2205"/>
      <c r="C30" s="754" t="s">
        <v>864</v>
      </c>
      <c r="D30" s="2390" t="str">
        <f t="shared" si="27"/>
        <v/>
      </c>
      <c r="E30" s="2391"/>
      <c r="F30" s="2177"/>
      <c r="G30" s="2177"/>
      <c r="H30" s="2178"/>
      <c r="I30" s="863" t="str">
        <f t="shared" si="32"/>
        <v/>
      </c>
      <c r="J30" s="853" t="str">
        <f>IF(OR(F30=0,F30=""),"",IF(W30,IF(X30,IF(OR(Y30,V30=3),IF(AD30,IF(OR(AE30,V30=2,V30=3),"○","要常勤"),"時間無"),"重複"),"名簿無"),"対象外"))</f>
        <v/>
      </c>
      <c r="K30" s="773" t="s">
        <v>810</v>
      </c>
      <c r="L30" s="888" t="str">
        <f t="shared" si="33"/>
        <v/>
      </c>
      <c r="M30" s="610">
        <f t="shared" si="34"/>
        <v>0</v>
      </c>
      <c r="N30" s="2295" t="str">
        <f t="shared" si="35"/>
        <v>×</v>
      </c>
      <c r="O30" s="2538"/>
      <c r="P30" s="419"/>
      <c r="Q30" s="2184"/>
      <c r="R30" s="2184"/>
      <c r="S30" s="2184"/>
      <c r="T30" s="529" t="str">
        <f t="shared" si="30"/>
        <v>教諭</v>
      </c>
      <c r="U30" s="417">
        <f>IFERROR(VLOOKUP($F30,$AU$8:$AX$107,4,FALSE),0)</f>
        <v>0</v>
      </c>
      <c r="V30" s="529">
        <v>2</v>
      </c>
      <c r="W30" s="529" t="b">
        <f>Q29</f>
        <v>0</v>
      </c>
      <c r="X30" s="520" t="b">
        <f ca="1">COUNTIF(INDIRECT(T30),F30)&gt;0</f>
        <v>0</v>
      </c>
      <c r="Y30" s="500" t="b">
        <f>COUNTIF($AC$15:AC29,AC30)+COUNTIF(AC31:$AC$69,AC30)-IF(AND(ISNUMBER(Z30),Z30=AC30),1,0)=0</f>
        <v>0</v>
      </c>
      <c r="Z30" s="539" t="s">
        <v>801</v>
      </c>
      <c r="AA30" s="539" t="s">
        <v>801</v>
      </c>
      <c r="AB30" s="539" t="s">
        <v>801</v>
      </c>
      <c r="AC30" s="536">
        <f>IF(V30=3,0,IFERROR(INDEX($AT$8:$AT$107,MATCH($F30,AU$8:AU$107,0),1),0))</f>
        <v>0</v>
      </c>
      <c r="AD30" s="418" t="b">
        <f t="shared" si="20"/>
        <v>0</v>
      </c>
      <c r="AE30" s="392" t="b">
        <f t="shared" si="21"/>
        <v>0</v>
      </c>
      <c r="AF30" s="529" t="s">
        <v>801</v>
      </c>
      <c r="AG30" s="529" t="s">
        <v>801</v>
      </c>
      <c r="AH30" s="529">
        <v>2</v>
      </c>
      <c r="AI30" s="418">
        <f t="shared" si="36"/>
        <v>2</v>
      </c>
      <c r="AJ30" s="420">
        <f t="shared" si="37"/>
        <v>0</v>
      </c>
      <c r="AK30" s="387"/>
      <c r="AT30" s="388">
        <f t="shared" si="1"/>
        <v>23</v>
      </c>
      <c r="AU30" s="1081" t="str">
        <f>AT30&amp;" "&amp;IF(AW30&lt;&gt;"-",【様式2】職員名簿!B62&amp;"/"&amp;AV30&amp;"/"&amp;AW30,"")</f>
        <v xml:space="preserve">23 </v>
      </c>
      <c r="AV30" s="1081">
        <f>【様式2】職員名簿!E62</f>
        <v>0</v>
      </c>
      <c r="AW30" s="1081" t="str">
        <f>IF(【様式2】職員名簿!J62="エラー","-",IF(AND(【様式2】職員名簿!C62=$AW$3,【様式2】職員名簿!J62=$AW$4),$AW$3,【様式2】職員名簿!J62))</f>
        <v>-</v>
      </c>
      <c r="AX30" s="392">
        <f>IF($AV30="常勤",$AM$2,IF($AV30="非常勤",【様式2】職員名簿!G62,0))</f>
        <v>0</v>
      </c>
      <c r="AY30" s="415">
        <f>IF($AW30=AY$3,COUNTIF($AW$8:$AW30,AY$3),0)</f>
        <v>0</v>
      </c>
      <c r="AZ30" s="416" t="str">
        <f t="shared" si="2"/>
        <v/>
      </c>
      <c r="BA30" s="388">
        <f>IF(OR($AW30=BA$3,$AW30=BA$4),COUNTIF($AW$8:$AW30,BA$3)+COUNTIF($AW$8:$AW30,BA$4),0)</f>
        <v>0</v>
      </c>
      <c r="BB30" s="416" t="str">
        <f t="shared" si="3"/>
        <v/>
      </c>
      <c r="BC30" s="418">
        <f>IF($AW30=BC$3,COUNTIF($AW$8:$AW30,BC$3),0)</f>
        <v>0</v>
      </c>
      <c r="BD30" s="416" t="str">
        <f t="shared" si="4"/>
        <v/>
      </c>
      <c r="BE30" s="388">
        <f>IF(OR($AW30=BE$3,$AW30=BE$4),COUNTIF($AW$8:$AW30,BE$3)+COUNTIF($AW$8:$AW30,BE$4),0)</f>
        <v>0</v>
      </c>
      <c r="BF30" s="416" t="str">
        <f t="shared" si="5"/>
        <v/>
      </c>
      <c r="BG30" s="388">
        <f>IF($AW30=BG$4,COUNTIFS($AV$8:$AV30,BG$3,$AW$8:$AW30,BG$4),0)</f>
        <v>0</v>
      </c>
      <c r="BH30" s="416" t="str">
        <f t="shared" si="6"/>
        <v/>
      </c>
      <c r="BI30" s="388">
        <f>IF($AW30=BI$3,COUNTIF($AW$8:$AW30,BI$3),0)</f>
        <v>0</v>
      </c>
      <c r="BJ30" s="416" t="str">
        <f t="shared" si="7"/>
        <v/>
      </c>
      <c r="BK30" s="388">
        <f>IF($AW30=BK$3,COUNTIF($AW$8:$AW30,BK$3),0)</f>
        <v>0</v>
      </c>
      <c r="BL30" s="416" t="str">
        <f t="shared" si="8"/>
        <v/>
      </c>
      <c r="BM30" s="388">
        <f>IF($AW30&lt;&gt;BM$3,COUNTIF($AW$8:$AW30,"&lt;&gt;"&amp;BM$3),0)</f>
        <v>0</v>
      </c>
      <c r="BN30" s="416" t="str">
        <f t="shared" si="9"/>
        <v/>
      </c>
      <c r="BO30" s="388">
        <f>IF($AW30=BO$3,COUNTIF($AW$8:$AW30,BO$3),0)</f>
        <v>0</v>
      </c>
      <c r="BP30" s="416" t="str">
        <f t="shared" si="10"/>
        <v/>
      </c>
      <c r="BQ30" s="381"/>
      <c r="BR30" s="381"/>
    </row>
    <row r="31" spans="1:70" s="386" customFormat="1" ht="15" customHeight="1">
      <c r="A31" s="2164"/>
      <c r="B31" s="2388" t="s">
        <v>46</v>
      </c>
      <c r="C31" s="2389"/>
      <c r="D31" s="2194" t="s">
        <v>869</v>
      </c>
      <c r="E31" s="2267" t="s">
        <v>868</v>
      </c>
      <c r="F31" s="2425" t="s">
        <v>903</v>
      </c>
      <c r="G31" s="2426"/>
      <c r="H31" s="2426"/>
      <c r="I31" s="2426"/>
      <c r="J31" s="817">
        <f>IF(SUM(H76:H77)-M99&gt;0,SUM(H76:H77)-M99,0)</f>
        <v>0</v>
      </c>
      <c r="K31" s="996" t="s">
        <v>802</v>
      </c>
      <c r="L31" s="879" t="s">
        <v>683</v>
      </c>
      <c r="M31" s="986" t="s">
        <v>801</v>
      </c>
      <c r="N31" s="2540" t="str">
        <f>IF(Q31,"○","×")</f>
        <v>×</v>
      </c>
      <c r="O31" s="2185" t="str">
        <f>IF(Q31,IF(S31,"○","×"),"-")</f>
        <v>-</v>
      </c>
      <c r="P31" s="421"/>
      <c r="Q31" s="2183" t="b">
        <f>【様式１】総括表・個票!AI118</f>
        <v>0</v>
      </c>
      <c r="R31" s="2181">
        <f>【様式１】総括表・個票!F122</f>
        <v>0</v>
      </c>
      <c r="S31" s="2183" t="b">
        <f>AND(ISNUMBER(R31),R31&lt;=J34,$O$89&gt;=0)</f>
        <v>1</v>
      </c>
      <c r="T31" s="529" t="s">
        <v>707</v>
      </c>
      <c r="U31" s="417" t="s">
        <v>870</v>
      </c>
      <c r="V31" s="529" t="s">
        <v>801</v>
      </c>
      <c r="W31" s="529" t="s">
        <v>801</v>
      </c>
      <c r="X31" s="520" t="s">
        <v>802</v>
      </c>
      <c r="Y31" s="500" t="s">
        <v>801</v>
      </c>
      <c r="Z31" s="539" t="s">
        <v>801</v>
      </c>
      <c r="AA31" s="539" t="s">
        <v>801</v>
      </c>
      <c r="AB31" s="539" t="s">
        <v>801</v>
      </c>
      <c r="AC31" s="536" t="s">
        <v>801</v>
      </c>
      <c r="AD31" s="418" t="b">
        <f t="shared" si="20"/>
        <v>1</v>
      </c>
      <c r="AE31" s="392" t="b">
        <f t="shared" si="21"/>
        <v>0</v>
      </c>
      <c r="AF31" s="529" t="s">
        <v>801</v>
      </c>
      <c r="AG31" s="529" t="s">
        <v>801</v>
      </c>
      <c r="AH31" s="529" t="s">
        <v>801</v>
      </c>
      <c r="AI31" s="418" t="s">
        <v>801</v>
      </c>
      <c r="AJ31" s="420" t="s">
        <v>801</v>
      </c>
      <c r="AK31" s="385"/>
      <c r="AT31" s="388">
        <f t="shared" si="1"/>
        <v>24</v>
      </c>
      <c r="AU31" s="1081" t="str">
        <f>AT31&amp;" "&amp;IF(AW31&lt;&gt;"-",【様式2】職員名簿!B63&amp;"/"&amp;AV31&amp;"/"&amp;AW31,"")</f>
        <v xml:space="preserve">24 </v>
      </c>
      <c r="AV31" s="1081">
        <f>【様式2】職員名簿!E63</f>
        <v>0</v>
      </c>
      <c r="AW31" s="1081" t="str">
        <f>IF(【様式2】職員名簿!J63="エラー","-",IF(AND(【様式2】職員名簿!C63=$AW$3,【様式2】職員名簿!J63=$AW$4),$AW$3,【様式2】職員名簿!J63))</f>
        <v>-</v>
      </c>
      <c r="AX31" s="392">
        <f>IF($AV31="常勤",$AM$2,IF($AV31="非常勤",【様式2】職員名簿!G63,0))</f>
        <v>0</v>
      </c>
      <c r="AY31" s="415">
        <f>IF($AW31=AY$3,COUNTIF($AW$8:$AW31,AY$3),0)</f>
        <v>0</v>
      </c>
      <c r="AZ31" s="416" t="str">
        <f t="shared" si="2"/>
        <v/>
      </c>
      <c r="BA31" s="388">
        <f>IF(OR($AW31=BA$3,$AW31=BA$4),COUNTIF($AW$8:$AW31,BA$3)+COUNTIF($AW$8:$AW31,BA$4),0)</f>
        <v>0</v>
      </c>
      <c r="BB31" s="416" t="str">
        <f t="shared" si="3"/>
        <v/>
      </c>
      <c r="BC31" s="418">
        <f>IF($AW31=BC$3,COUNTIF($AW$8:$AW31,BC$3),0)</f>
        <v>0</v>
      </c>
      <c r="BD31" s="416" t="str">
        <f t="shared" si="4"/>
        <v/>
      </c>
      <c r="BE31" s="388">
        <f>IF(OR($AW31=BE$3,$AW31=BE$4),COUNTIF($AW$8:$AW31,BE$3)+COUNTIF($AW$8:$AW31,BE$4),0)</f>
        <v>0</v>
      </c>
      <c r="BF31" s="416" t="str">
        <f t="shared" si="5"/>
        <v/>
      </c>
      <c r="BG31" s="388">
        <f>IF($AW31=BG$4,COUNTIFS($AV$8:$AV31,BG$3,$AW$8:$AW31,BG$4),0)</f>
        <v>0</v>
      </c>
      <c r="BH31" s="416" t="str">
        <f t="shared" si="6"/>
        <v/>
      </c>
      <c r="BI31" s="388">
        <f>IF($AW31=BI$3,COUNTIF($AW$8:$AW31,BI$3),0)</f>
        <v>0</v>
      </c>
      <c r="BJ31" s="416" t="str">
        <f t="shared" si="7"/>
        <v/>
      </c>
      <c r="BK31" s="388">
        <f>IF($AW31=BK$3,COUNTIF($AW$8:$AW31,BK$3),0)</f>
        <v>0</v>
      </c>
      <c r="BL31" s="416" t="str">
        <f t="shared" si="8"/>
        <v/>
      </c>
      <c r="BM31" s="388">
        <f>IF($AW31&lt;&gt;BM$3,COUNTIF($AW$8:$AW31,"&lt;&gt;"&amp;BM$3),0)</f>
        <v>0</v>
      </c>
      <c r="BN31" s="416" t="str">
        <f t="shared" si="9"/>
        <v/>
      </c>
      <c r="BO31" s="388">
        <f>IF($AW31=BO$3,COUNTIF($AW$8:$AW31,BO$3),0)</f>
        <v>0</v>
      </c>
      <c r="BP31" s="416" t="str">
        <f t="shared" si="10"/>
        <v/>
      </c>
      <c r="BQ31" s="381"/>
      <c r="BR31" s="381"/>
    </row>
    <row r="32" spans="1:70" s="386" customFormat="1" ht="15" customHeight="1">
      <c r="A32" s="2164"/>
      <c r="B32" s="2388"/>
      <c r="C32" s="2389"/>
      <c r="D32" s="2190"/>
      <c r="E32" s="2268"/>
      <c r="F32" s="2427" t="s">
        <v>509</v>
      </c>
      <c r="G32" s="2428"/>
      <c r="H32" s="2428"/>
      <c r="I32" s="2428"/>
      <c r="J32" s="609">
        <f>IF(J31&lt;=3,ROUND(J31,0),VLOOKUP(J31,$AO$10:$AP$20,2,TRUE))</f>
        <v>0</v>
      </c>
      <c r="K32" s="997" t="s">
        <v>803</v>
      </c>
      <c r="L32" s="885" t="s">
        <v>801</v>
      </c>
      <c r="M32" s="987" t="s">
        <v>801</v>
      </c>
      <c r="N32" s="2541" t="str">
        <f t="shared" si="35"/>
        <v>×</v>
      </c>
      <c r="O32" s="2186" t="str">
        <f t="shared" si="28"/>
        <v>-</v>
      </c>
      <c r="P32" s="421"/>
      <c r="Q32" s="2286"/>
      <c r="R32" s="2417"/>
      <c r="S32" s="2286"/>
      <c r="T32" s="529" t="s">
        <v>707</v>
      </c>
      <c r="U32" s="417" t="s">
        <v>867</v>
      </c>
      <c r="V32" s="529" t="s">
        <v>801</v>
      </c>
      <c r="W32" s="529" t="s">
        <v>801</v>
      </c>
      <c r="X32" s="520" t="s">
        <v>801</v>
      </c>
      <c r="Y32" s="500" t="s">
        <v>801</v>
      </c>
      <c r="Z32" s="539" t="s">
        <v>801</v>
      </c>
      <c r="AA32" s="539" t="s">
        <v>801</v>
      </c>
      <c r="AB32" s="539" t="s">
        <v>801</v>
      </c>
      <c r="AC32" s="536" t="s">
        <v>801</v>
      </c>
      <c r="AD32" s="418" t="b">
        <f t="shared" si="20"/>
        <v>1</v>
      </c>
      <c r="AE32" s="392" t="b">
        <f t="shared" si="21"/>
        <v>0</v>
      </c>
      <c r="AF32" s="529" t="s">
        <v>801</v>
      </c>
      <c r="AG32" s="529" t="s">
        <v>801</v>
      </c>
      <c r="AH32" s="529" t="s">
        <v>801</v>
      </c>
      <c r="AI32" s="418" t="s">
        <v>801</v>
      </c>
      <c r="AJ32" s="420" t="s">
        <v>801</v>
      </c>
      <c r="AK32" s="422"/>
      <c r="AS32" s="240"/>
      <c r="AT32" s="388">
        <f t="shared" si="1"/>
        <v>25</v>
      </c>
      <c r="AU32" s="1081" t="str">
        <f>AT32&amp;" "&amp;IF(AW32&lt;&gt;"-",【様式2】職員名簿!B64&amp;"/"&amp;AV32&amp;"/"&amp;AW32,"")</f>
        <v xml:space="preserve">25 </v>
      </c>
      <c r="AV32" s="1081">
        <f>【様式2】職員名簿!E64</f>
        <v>0</v>
      </c>
      <c r="AW32" s="1081" t="str">
        <f>IF(【様式2】職員名簿!J64="エラー","-",IF(AND(【様式2】職員名簿!C64=$AW$3,【様式2】職員名簿!J64=$AW$4),$AW$3,【様式2】職員名簿!J64))</f>
        <v>-</v>
      </c>
      <c r="AX32" s="392">
        <f>IF($AV32="常勤",$AM$2,IF($AV32="非常勤",【様式2】職員名簿!G64,0))</f>
        <v>0</v>
      </c>
      <c r="AY32" s="415">
        <f>IF($AW32=AY$3,COUNTIF($AW$8:$AW32,AY$3),0)</f>
        <v>0</v>
      </c>
      <c r="AZ32" s="416" t="str">
        <f t="shared" si="2"/>
        <v/>
      </c>
      <c r="BA32" s="388">
        <f>IF(OR($AW32=BA$3,$AW32=BA$4),COUNTIF($AW$8:$AW32,BA$3)+COUNTIF($AW$8:$AW32,BA$4),0)</f>
        <v>0</v>
      </c>
      <c r="BB32" s="416" t="str">
        <f t="shared" si="3"/>
        <v/>
      </c>
      <c r="BC32" s="418">
        <f>IF($AW32=BC$3,COUNTIF($AW$8:$AW32,BC$3),0)</f>
        <v>0</v>
      </c>
      <c r="BD32" s="416" t="str">
        <f t="shared" si="4"/>
        <v/>
      </c>
      <c r="BE32" s="388">
        <f>IF(OR($AW32=BE$3,$AW32=BE$4),COUNTIF($AW$8:$AW32,BE$3)+COUNTIF($AW$8:$AW32,BE$4),0)</f>
        <v>0</v>
      </c>
      <c r="BF32" s="416" t="str">
        <f t="shared" si="5"/>
        <v/>
      </c>
      <c r="BG32" s="388">
        <f>IF($AW32=BG$4,COUNTIFS($AV$8:$AV32,BG$3,$AW$8:$AW32,BG$4),0)</f>
        <v>0</v>
      </c>
      <c r="BH32" s="416" t="str">
        <f t="shared" si="6"/>
        <v/>
      </c>
      <c r="BI32" s="388">
        <f>IF($AW32=BI$3,COUNTIF($AW$8:$AW32,BI$3),0)</f>
        <v>0</v>
      </c>
      <c r="BJ32" s="416" t="str">
        <f t="shared" si="7"/>
        <v/>
      </c>
      <c r="BK32" s="388">
        <f>IF($AW32=BK$3,COUNTIF($AW$8:$AW32,BK$3),0)</f>
        <v>0</v>
      </c>
      <c r="BL32" s="416" t="str">
        <f t="shared" si="8"/>
        <v/>
      </c>
      <c r="BM32" s="388">
        <f>IF($AW32&lt;&gt;BM$3,COUNTIF($AW$8:$AW32,"&lt;&gt;"&amp;BM$3),0)</f>
        <v>0</v>
      </c>
      <c r="BN32" s="416" t="str">
        <f t="shared" si="9"/>
        <v/>
      </c>
      <c r="BO32" s="388">
        <f>IF($AW32=BO$3,COUNTIF($AW$8:$AW32,BO$3),0)</f>
        <v>0</v>
      </c>
      <c r="BP32" s="416" t="str">
        <f t="shared" si="10"/>
        <v/>
      </c>
      <c r="BQ32" s="381"/>
      <c r="BR32" s="381"/>
    </row>
    <row r="33" spans="1:70" s="386" customFormat="1" ht="15" customHeight="1">
      <c r="A33" s="2164"/>
      <c r="B33" s="2388"/>
      <c r="C33" s="2389"/>
      <c r="D33" s="2190"/>
      <c r="E33" s="2268">
        <f>R31</f>
        <v>0</v>
      </c>
      <c r="F33" s="2427" t="s">
        <v>510</v>
      </c>
      <c r="G33" s="2428"/>
      <c r="H33" s="2428"/>
      <c r="I33" s="2428"/>
      <c r="J33" s="609">
        <f>IFERROR(VLOOKUP($B$8,$AO$2:$AP$8,2,TRUE),0)</f>
        <v>0</v>
      </c>
      <c r="K33" s="997" t="s">
        <v>802</v>
      </c>
      <c r="L33" s="885" t="s">
        <v>801</v>
      </c>
      <c r="M33" s="987" t="s">
        <v>801</v>
      </c>
      <c r="N33" s="2541" t="str">
        <f t="shared" si="35"/>
        <v>×</v>
      </c>
      <c r="O33" s="2186" t="str">
        <f t="shared" si="28"/>
        <v>-</v>
      </c>
      <c r="P33" s="421"/>
      <c r="Q33" s="2286"/>
      <c r="R33" s="2417"/>
      <c r="S33" s="2286"/>
      <c r="T33" s="529" t="s">
        <v>707</v>
      </c>
      <c r="U33" s="417" t="s">
        <v>867</v>
      </c>
      <c r="V33" s="529" t="s">
        <v>801</v>
      </c>
      <c r="W33" s="529" t="s">
        <v>801</v>
      </c>
      <c r="X33" s="520" t="s">
        <v>801</v>
      </c>
      <c r="Y33" s="500" t="s">
        <v>801</v>
      </c>
      <c r="Z33" s="539" t="s">
        <v>801</v>
      </c>
      <c r="AA33" s="539" t="s">
        <v>801</v>
      </c>
      <c r="AB33" s="539" t="s">
        <v>801</v>
      </c>
      <c r="AC33" s="536" t="s">
        <v>801</v>
      </c>
      <c r="AD33" s="418" t="b">
        <f t="shared" si="20"/>
        <v>1</v>
      </c>
      <c r="AE33" s="392" t="b">
        <f t="shared" si="21"/>
        <v>0</v>
      </c>
      <c r="AF33" s="529" t="s">
        <v>801</v>
      </c>
      <c r="AG33" s="529" t="s">
        <v>801</v>
      </c>
      <c r="AH33" s="529" t="s">
        <v>801</v>
      </c>
      <c r="AI33" s="418" t="s">
        <v>801</v>
      </c>
      <c r="AJ33" s="420" t="s">
        <v>801</v>
      </c>
      <c r="AK33" s="387"/>
      <c r="AL33" s="387"/>
      <c r="AO33" s="240"/>
      <c r="AP33" s="240"/>
      <c r="AQ33" s="240"/>
      <c r="AR33" s="240"/>
      <c r="AS33" s="240"/>
      <c r="AT33" s="388">
        <f t="shared" si="1"/>
        <v>26</v>
      </c>
      <c r="AU33" s="1081" t="str">
        <f>AT33&amp;" "&amp;IF(AW33&lt;&gt;"-",【様式2】職員名簿!B65&amp;"/"&amp;AV33&amp;"/"&amp;AW33,"")</f>
        <v xml:space="preserve">26 </v>
      </c>
      <c r="AV33" s="1081">
        <f>【様式2】職員名簿!E65</f>
        <v>0</v>
      </c>
      <c r="AW33" s="1081" t="str">
        <f>IF(【様式2】職員名簿!J65="エラー","-",IF(AND(【様式2】職員名簿!C65=$AW$3,【様式2】職員名簿!J65=$AW$4),$AW$3,【様式2】職員名簿!J65))</f>
        <v>-</v>
      </c>
      <c r="AX33" s="392">
        <f>IF($AV33="常勤",$AM$2,IF($AV33="非常勤",【様式2】職員名簿!G65,0))</f>
        <v>0</v>
      </c>
      <c r="AY33" s="415">
        <f>IF($AW33=AY$3,COUNTIF($AW$8:$AW33,AY$3),0)</f>
        <v>0</v>
      </c>
      <c r="AZ33" s="416" t="str">
        <f t="shared" si="2"/>
        <v/>
      </c>
      <c r="BA33" s="388">
        <f>IF(OR($AW33=BA$3,$AW33=BA$4),COUNTIF($AW$8:$AW33,BA$3)+COUNTIF($AW$8:$AW33,BA$4),0)</f>
        <v>0</v>
      </c>
      <c r="BB33" s="416" t="str">
        <f t="shared" si="3"/>
        <v/>
      </c>
      <c r="BC33" s="418">
        <f>IF($AW33=BC$3,COUNTIF($AW$8:$AW33,BC$3),0)</f>
        <v>0</v>
      </c>
      <c r="BD33" s="416" t="str">
        <f t="shared" si="4"/>
        <v/>
      </c>
      <c r="BE33" s="388">
        <f>IF(OR($AW33=BE$3,$AW33=BE$4),COUNTIF($AW$8:$AW33,BE$3)+COUNTIF($AW$8:$AW33,BE$4),0)</f>
        <v>0</v>
      </c>
      <c r="BF33" s="416" t="str">
        <f t="shared" si="5"/>
        <v/>
      </c>
      <c r="BG33" s="388">
        <f>IF($AW33=BG$4,COUNTIFS($AV$8:$AV33,BG$3,$AW$8:$AW33,BG$4),0)</f>
        <v>0</v>
      </c>
      <c r="BH33" s="416" t="str">
        <f t="shared" si="6"/>
        <v/>
      </c>
      <c r="BI33" s="388">
        <f>IF($AW33=BI$3,COUNTIF($AW$8:$AW33,BI$3),0)</f>
        <v>0</v>
      </c>
      <c r="BJ33" s="416" t="str">
        <f t="shared" si="7"/>
        <v/>
      </c>
      <c r="BK33" s="388">
        <f>IF($AW33=BK$3,COUNTIF($AW$8:$AW33,BK$3),0)</f>
        <v>0</v>
      </c>
      <c r="BL33" s="416" t="str">
        <f t="shared" si="8"/>
        <v/>
      </c>
      <c r="BM33" s="388">
        <f>IF($AW33&lt;&gt;BM$3,COUNTIF($AW$8:$AW33,"&lt;&gt;"&amp;BM$3),0)</f>
        <v>0</v>
      </c>
      <c r="BN33" s="416" t="str">
        <f t="shared" si="9"/>
        <v/>
      </c>
      <c r="BO33" s="388">
        <f>IF($AW33=BO$3,COUNTIF($AW$8:$AW33,BO$3),0)</f>
        <v>0</v>
      </c>
      <c r="BP33" s="416" t="str">
        <f t="shared" si="10"/>
        <v/>
      </c>
      <c r="BQ33" s="381"/>
      <c r="BR33" s="381"/>
    </row>
    <row r="34" spans="1:70" ht="15" customHeight="1">
      <c r="A34" s="2164"/>
      <c r="B34" s="2388"/>
      <c r="C34" s="2389"/>
      <c r="D34" s="2549"/>
      <c r="E34" s="2269"/>
      <c r="F34" s="2429" t="s">
        <v>814</v>
      </c>
      <c r="G34" s="2430"/>
      <c r="H34" s="2430"/>
      <c r="I34" s="2430"/>
      <c r="J34" s="843">
        <f>MIN(J32:J33)</f>
        <v>0</v>
      </c>
      <c r="K34" s="998" t="s">
        <v>804</v>
      </c>
      <c r="L34" s="889" t="s">
        <v>801</v>
      </c>
      <c r="M34" s="988" t="s">
        <v>801</v>
      </c>
      <c r="N34" s="2542" t="str">
        <f t="shared" si="35"/>
        <v>×</v>
      </c>
      <c r="O34" s="2187" t="str">
        <f t="shared" si="28"/>
        <v>-</v>
      </c>
      <c r="P34" s="421"/>
      <c r="Q34" s="2184"/>
      <c r="R34" s="2182"/>
      <c r="S34" s="2184"/>
      <c r="T34" s="529" t="s">
        <v>707</v>
      </c>
      <c r="U34" s="417" t="s">
        <v>871</v>
      </c>
      <c r="V34" s="529" t="s">
        <v>801</v>
      </c>
      <c r="W34" s="529" t="s">
        <v>801</v>
      </c>
      <c r="X34" s="520" t="s">
        <v>801</v>
      </c>
      <c r="Y34" s="500" t="s">
        <v>801</v>
      </c>
      <c r="Z34" s="539" t="s">
        <v>801</v>
      </c>
      <c r="AA34" s="539" t="s">
        <v>801</v>
      </c>
      <c r="AB34" s="539" t="s">
        <v>801</v>
      </c>
      <c r="AC34" s="536" t="s">
        <v>801</v>
      </c>
      <c r="AD34" s="418" t="b">
        <f t="shared" si="20"/>
        <v>1</v>
      </c>
      <c r="AE34" s="392" t="b">
        <f t="shared" si="21"/>
        <v>0</v>
      </c>
      <c r="AF34" s="529" t="s">
        <v>801</v>
      </c>
      <c r="AG34" s="529" t="s">
        <v>801</v>
      </c>
      <c r="AH34" s="529" t="s">
        <v>801</v>
      </c>
      <c r="AI34" s="418" t="s">
        <v>801</v>
      </c>
      <c r="AJ34" s="420" t="s">
        <v>801</v>
      </c>
      <c r="AM34" s="386"/>
      <c r="AN34" s="386"/>
      <c r="AO34" s="240"/>
      <c r="AP34" s="240"/>
      <c r="AQ34" s="234"/>
      <c r="AR34" s="234"/>
      <c r="AS34" s="240"/>
      <c r="AT34" s="388">
        <f t="shared" si="1"/>
        <v>27</v>
      </c>
      <c r="AU34" s="1081" t="str">
        <f>AT34&amp;" "&amp;IF(AW34&lt;&gt;"-",【様式2】職員名簿!B66&amp;"/"&amp;AV34&amp;"/"&amp;AW34,"")</f>
        <v xml:space="preserve">27 </v>
      </c>
      <c r="AV34" s="1081">
        <f>【様式2】職員名簿!E66</f>
        <v>0</v>
      </c>
      <c r="AW34" s="1081" t="str">
        <f>IF(【様式2】職員名簿!J66="エラー","-",IF(AND(【様式2】職員名簿!C66=$AW$3,【様式2】職員名簿!J66=$AW$4),$AW$3,【様式2】職員名簿!J66))</f>
        <v>-</v>
      </c>
      <c r="AX34" s="392">
        <f>IF($AV34="常勤",$AM$2,IF($AV34="非常勤",【様式2】職員名簿!G66,0))</f>
        <v>0</v>
      </c>
      <c r="AY34" s="415">
        <f>IF($AW34=AY$3,COUNTIF($AW$8:$AW34,AY$3),0)</f>
        <v>0</v>
      </c>
      <c r="AZ34" s="416" t="str">
        <f t="shared" si="2"/>
        <v/>
      </c>
      <c r="BA34" s="388">
        <f>IF(OR($AW34=BA$3,$AW34=BA$4),COUNTIF($AW$8:$AW34,BA$3)+COUNTIF($AW$8:$AW34,BA$4),0)</f>
        <v>0</v>
      </c>
      <c r="BB34" s="416" t="str">
        <f t="shared" si="3"/>
        <v/>
      </c>
      <c r="BC34" s="418">
        <f>IF($AW34=BC$3,COUNTIF($AW$8:$AW34,BC$3),0)</f>
        <v>0</v>
      </c>
      <c r="BD34" s="416" t="str">
        <f t="shared" si="4"/>
        <v/>
      </c>
      <c r="BE34" s="388">
        <f>IF(OR($AW34=BE$3,$AW34=BE$4),COUNTIF($AW$8:$AW34,BE$3)+COUNTIF($AW$8:$AW34,BE$4),0)</f>
        <v>0</v>
      </c>
      <c r="BF34" s="416" t="str">
        <f t="shared" si="5"/>
        <v/>
      </c>
      <c r="BG34" s="388">
        <f>IF($AW34=BG$4,COUNTIFS($AV$8:$AV34,BG$3,$AW$8:$AW34,BG$4),0)</f>
        <v>0</v>
      </c>
      <c r="BH34" s="416" t="str">
        <f t="shared" si="6"/>
        <v/>
      </c>
      <c r="BI34" s="388">
        <f>IF($AW34=BI$3,COUNTIF($AW$8:$AW34,BI$3),0)</f>
        <v>0</v>
      </c>
      <c r="BJ34" s="416" t="str">
        <f t="shared" si="7"/>
        <v/>
      </c>
      <c r="BK34" s="388">
        <f>IF($AW34=BK$3,COUNTIF($AW$8:$AW34,BK$3),0)</f>
        <v>0</v>
      </c>
      <c r="BL34" s="416" t="str">
        <f t="shared" si="8"/>
        <v/>
      </c>
      <c r="BM34" s="388">
        <f>IF($AW34&lt;&gt;BM$3,COUNTIF($AW$8:$AW34,"&lt;&gt;"&amp;BM$3),0)</f>
        <v>0</v>
      </c>
      <c r="BN34" s="416" t="str">
        <f t="shared" si="9"/>
        <v/>
      </c>
      <c r="BO34" s="388">
        <f>IF($AW34=BO$3,COUNTIF($AW$8:$AW34,BO$3),0)</f>
        <v>0</v>
      </c>
      <c r="BP34" s="416" t="str">
        <f t="shared" si="10"/>
        <v/>
      </c>
      <c r="BQ34" s="381"/>
      <c r="BR34" s="381"/>
    </row>
    <row r="35" spans="1:70" ht="15" customHeight="1">
      <c r="A35" s="2164"/>
      <c r="B35" s="2114" t="s">
        <v>55</v>
      </c>
      <c r="C35" s="2115"/>
      <c r="D35" s="2192" t="str">
        <f>IF(W35,T35,"")</f>
        <v/>
      </c>
      <c r="E35" s="2193"/>
      <c r="F35" s="2171"/>
      <c r="G35" s="2171"/>
      <c r="H35" s="2172"/>
      <c r="I35" s="864" t="str">
        <f>IF(OR(NOT(W35),U35=0),"",U35)</f>
        <v/>
      </c>
      <c r="J35" s="854" t="str">
        <f>IF(OR(F35=0,F35=""),"",IF(W35,IF(X35,IF(OR(Y35,V35=3),IF(AD35,IF(OR(AE35,V35=2,V35=3),"○","要常勤"),"時間無"),"重複"),"名簿無"),"対象外"))</f>
        <v/>
      </c>
      <c r="K35" s="846" t="s">
        <v>802</v>
      </c>
      <c r="L35" s="870" t="str">
        <f>IF(AI35=1,"調整①→",IF(AI35=5,"調整②→",IF(AI35=2,"",IF(AI35=3,"全計上→","エラー"))))</f>
        <v/>
      </c>
      <c r="M35" s="887">
        <f>IF(OR(AND(J35&lt;&gt;"○",J35&lt;&gt;""),AI35=4),"×",IF(J35="",0,AJ35/$AM$2))</f>
        <v>0</v>
      </c>
      <c r="N35" s="613" t="str">
        <f>IF(Q35,"○","×")</f>
        <v>×</v>
      </c>
      <c r="O35" s="805" t="str">
        <f>IF(Q35,IF(S35,"○","×"),"-")</f>
        <v>-</v>
      </c>
      <c r="P35" s="419"/>
      <c r="Q35" s="529" t="b">
        <f>【様式１】総括表・個票!AI294</f>
        <v>0</v>
      </c>
      <c r="R35" s="533" t="b">
        <f>【様式１】総括表・個票!AI296</f>
        <v>0</v>
      </c>
      <c r="S35" s="529" t="b">
        <f>AND(J35="○",O89&gt;=0)</f>
        <v>0</v>
      </c>
      <c r="T35" s="529" t="str">
        <f t="shared" si="30"/>
        <v>教諭</v>
      </c>
      <c r="U35" s="417">
        <f>IFERROR(VLOOKUP($F35,$AU$8:$AX$107,4,FALSE),0)</f>
        <v>0</v>
      </c>
      <c r="V35" s="529">
        <v>2</v>
      </c>
      <c r="W35" s="529" t="b">
        <f>AND(Q35,R35)</f>
        <v>0</v>
      </c>
      <c r="X35" s="520" t="b">
        <f ca="1">COUNTIF(INDIRECT(T35),F35)&gt;0</f>
        <v>0</v>
      </c>
      <c r="Y35" s="500" t="b">
        <f>COUNTIF($AC$15:AC34,AC35)+COUNTIF(AC36:$AC$69,AC35)-IF(AND(ISNUMBER(Z35),Z35=AC35),1,0)=0</f>
        <v>0</v>
      </c>
      <c r="Z35" s="539" t="s">
        <v>801</v>
      </c>
      <c r="AA35" s="539" t="s">
        <v>801</v>
      </c>
      <c r="AB35" s="539" t="s">
        <v>801</v>
      </c>
      <c r="AC35" s="536">
        <f>IF(V35=3,0,IFERROR(INDEX($AT$8:$AT$107,MATCH($F35,AU$8:AU$107,0),1),0))</f>
        <v>0</v>
      </c>
      <c r="AD35" s="418" t="b">
        <f>U35&gt;0</f>
        <v>0</v>
      </c>
      <c r="AE35" s="392" t="b">
        <f t="shared" si="21"/>
        <v>0</v>
      </c>
      <c r="AF35" s="529" t="s">
        <v>801</v>
      </c>
      <c r="AG35" s="529" t="s">
        <v>801</v>
      </c>
      <c r="AH35" s="529">
        <v>1</v>
      </c>
      <c r="AI35" s="418">
        <f>IF(AND($W35,$J35="○"),IF($K35="-",IF($U35&lt;IF($AH35=5,$AL$4,$AL$3),$AH35,2),IF($K35=0,IF($U35&lt;IF($AH35=5,$AL$4,$AL$3),IF(OR($AH35=1,$AH35=5),$AH35,3),3),IF(K35&lt;IF($AH35=5,$AL$4,$AL$3),$AH35,IF($K35&gt;$U35,4,2)))),2)</f>
        <v>2</v>
      </c>
      <c r="AJ35" s="420">
        <f>IF(AI35=1,$AL$3,IF(AI35=5,$AL$4,IF(AI35=2,IF(K35="-",U35,K35),IF(AI35=3,U35,"×"))))</f>
        <v>0</v>
      </c>
      <c r="AM35" s="386"/>
      <c r="AN35" s="386"/>
      <c r="AO35" s="240"/>
      <c r="AP35" s="240"/>
      <c r="AQ35" s="234"/>
      <c r="AR35" s="234"/>
      <c r="AS35" s="240"/>
      <c r="AT35" s="388">
        <f t="shared" si="1"/>
        <v>28</v>
      </c>
      <c r="AU35" s="1081" t="str">
        <f>AT35&amp;" "&amp;IF(AW35&lt;&gt;"-",【様式2】職員名簿!B67&amp;"/"&amp;AV35&amp;"/"&amp;AW35,"")</f>
        <v xml:space="preserve">28 </v>
      </c>
      <c r="AV35" s="1081">
        <f>【様式2】職員名簿!E67</f>
        <v>0</v>
      </c>
      <c r="AW35" s="1081" t="str">
        <f>IF(【様式2】職員名簿!J67="エラー","-",IF(AND(【様式2】職員名簿!C67=$AW$3,【様式2】職員名簿!J67=$AW$4),$AW$3,【様式2】職員名簿!J67))</f>
        <v>-</v>
      </c>
      <c r="AX35" s="392">
        <f>IF($AV35="常勤",$AM$2,IF($AV35="非常勤",【様式2】職員名簿!G67,0))</f>
        <v>0</v>
      </c>
      <c r="AY35" s="415">
        <f>IF($AW35=AY$3,COUNTIF($AW$8:$AW35,AY$3),0)</f>
        <v>0</v>
      </c>
      <c r="AZ35" s="416" t="str">
        <f t="shared" si="2"/>
        <v/>
      </c>
      <c r="BA35" s="388">
        <f>IF(OR($AW35=BA$3,$AW35=BA$4),COUNTIF($AW$8:$AW35,BA$3)+COUNTIF($AW$8:$AW35,BA$4),0)</f>
        <v>0</v>
      </c>
      <c r="BB35" s="416" t="str">
        <f t="shared" si="3"/>
        <v/>
      </c>
      <c r="BC35" s="418">
        <f>IF($AW35=BC$3,COUNTIF($AW$8:$AW35,BC$3),0)</f>
        <v>0</v>
      </c>
      <c r="BD35" s="416" t="str">
        <f t="shared" si="4"/>
        <v/>
      </c>
      <c r="BE35" s="388">
        <f>IF(OR($AW35=BE$3,$AW35=BE$4),COUNTIF($AW$8:$AW35,BE$3)+COUNTIF($AW$8:$AW35,BE$4),0)</f>
        <v>0</v>
      </c>
      <c r="BF35" s="416" t="str">
        <f t="shared" si="5"/>
        <v/>
      </c>
      <c r="BG35" s="388">
        <f>IF($AW35=BG$4,COUNTIFS($AV$8:$AV35,BG$3,$AW$8:$AW35,BG$4),0)</f>
        <v>0</v>
      </c>
      <c r="BH35" s="416" t="str">
        <f t="shared" si="6"/>
        <v/>
      </c>
      <c r="BI35" s="388">
        <f>IF($AW35=BI$3,COUNTIF($AW$8:$AW35,BI$3),0)</f>
        <v>0</v>
      </c>
      <c r="BJ35" s="416" t="str">
        <f t="shared" si="7"/>
        <v/>
      </c>
      <c r="BK35" s="388">
        <f>IF($AW35=BK$3,COUNTIF($AW$8:$AW35,BK$3),0)</f>
        <v>0</v>
      </c>
      <c r="BL35" s="416" t="str">
        <f t="shared" si="8"/>
        <v/>
      </c>
      <c r="BM35" s="388">
        <f>IF($AW35&lt;&gt;BM$3,COUNTIF($AW$8:$AW35,"&lt;&gt;"&amp;BM$3),0)</f>
        <v>0</v>
      </c>
      <c r="BN35" s="416" t="str">
        <f t="shared" si="9"/>
        <v/>
      </c>
      <c r="BO35" s="388">
        <f>IF($AW35=BO$3,COUNTIF($AW$8:$AW35,BO$3),0)</f>
        <v>0</v>
      </c>
      <c r="BP35" s="416" t="str">
        <f t="shared" si="10"/>
        <v/>
      </c>
      <c r="BQ35" s="381"/>
      <c r="BR35" s="381"/>
    </row>
    <row r="36" spans="1:70" ht="15" customHeight="1">
      <c r="A36" s="2165"/>
      <c r="B36" s="2168" t="s">
        <v>638</v>
      </c>
      <c r="C36" s="2169"/>
      <c r="D36" s="2194" t="str">
        <f>IF(O36&lt;0,"教諭","-")</f>
        <v>-</v>
      </c>
      <c r="E36" s="2195"/>
      <c r="F36" s="2431" t="str">
        <f>IF(O36&lt;0,"教諭が不足（他の加算も取得不可）","")</f>
        <v/>
      </c>
      <c r="G36" s="2432"/>
      <c r="H36" s="2432"/>
      <c r="I36" s="2432"/>
      <c r="J36" s="2432"/>
      <c r="K36" s="2433"/>
      <c r="L36" s="1000" t="s">
        <v>815</v>
      </c>
      <c r="M36" s="1007" t="s">
        <v>802</v>
      </c>
      <c r="N36" s="994" t="s">
        <v>726</v>
      </c>
      <c r="O36" s="806">
        <f>IF(ROUNDUP($O$89,0)&gt;=0,0,ROUNDUP($O$89,0))</f>
        <v>0</v>
      </c>
      <c r="P36" s="423"/>
      <c r="Q36" s="529" t="s">
        <v>719</v>
      </c>
      <c r="R36" s="533" t="s">
        <v>707</v>
      </c>
      <c r="S36" s="529" t="s">
        <v>683</v>
      </c>
      <c r="T36" s="529" t="s">
        <v>707</v>
      </c>
      <c r="U36" s="417" t="s">
        <v>722</v>
      </c>
      <c r="V36" s="529" t="s">
        <v>801</v>
      </c>
      <c r="W36" s="529" t="s">
        <v>801</v>
      </c>
      <c r="X36" s="520" t="s">
        <v>801</v>
      </c>
      <c r="Y36" s="500" t="s">
        <v>801</v>
      </c>
      <c r="Z36" s="539" t="s">
        <v>801</v>
      </c>
      <c r="AA36" s="539" t="s">
        <v>801</v>
      </c>
      <c r="AB36" s="539" t="s">
        <v>801</v>
      </c>
      <c r="AC36" s="499" t="s">
        <v>725</v>
      </c>
      <c r="AD36" s="418" t="b">
        <f t="shared" si="20"/>
        <v>1</v>
      </c>
      <c r="AE36" s="392" t="b">
        <f t="shared" si="21"/>
        <v>0</v>
      </c>
      <c r="AF36" s="529" t="s">
        <v>801</v>
      </c>
      <c r="AG36" s="529" t="s">
        <v>801</v>
      </c>
      <c r="AH36" s="529" t="s">
        <v>801</v>
      </c>
      <c r="AI36" s="418" t="s">
        <v>801</v>
      </c>
      <c r="AJ36" s="420" t="s">
        <v>801</v>
      </c>
      <c r="AM36" s="386"/>
      <c r="AN36" s="386"/>
      <c r="AO36" s="240"/>
      <c r="AP36" s="240"/>
      <c r="AQ36" s="240"/>
      <c r="AR36" s="240"/>
      <c r="AS36" s="240"/>
      <c r="AT36" s="388">
        <f t="shared" si="1"/>
        <v>29</v>
      </c>
      <c r="AU36" s="1081" t="str">
        <f>AT36&amp;" "&amp;IF(AW36&lt;&gt;"-",【様式2】職員名簿!B68&amp;"/"&amp;AV36&amp;"/"&amp;AW36,"")</f>
        <v xml:space="preserve">29 </v>
      </c>
      <c r="AV36" s="1081">
        <f>【様式2】職員名簿!E68</f>
        <v>0</v>
      </c>
      <c r="AW36" s="1081" t="str">
        <f>IF(【様式2】職員名簿!J68="エラー","-",IF(AND(【様式2】職員名簿!C68=$AW$3,【様式2】職員名簿!J68=$AW$4),$AW$3,【様式2】職員名簿!J68))</f>
        <v>-</v>
      </c>
      <c r="AX36" s="392">
        <f>IF($AV36="常勤",$AM$2,IF($AV36="非常勤",【様式2】職員名簿!G68,0))</f>
        <v>0</v>
      </c>
      <c r="AY36" s="415">
        <f>IF($AW36=AY$3,COUNTIF($AW$8:$AW36,AY$3),0)</f>
        <v>0</v>
      </c>
      <c r="AZ36" s="416" t="str">
        <f t="shared" si="2"/>
        <v/>
      </c>
      <c r="BA36" s="388">
        <f>IF(OR($AW36=BA$3,$AW36=BA$4),COUNTIF($AW$8:$AW36,BA$3)+COUNTIF($AW$8:$AW36,BA$4),0)</f>
        <v>0</v>
      </c>
      <c r="BB36" s="416" t="str">
        <f t="shared" si="3"/>
        <v/>
      </c>
      <c r="BC36" s="418">
        <f>IF($AW36=BC$3,COUNTIF($AW$8:$AW36,BC$3),0)</f>
        <v>0</v>
      </c>
      <c r="BD36" s="416" t="str">
        <f t="shared" si="4"/>
        <v/>
      </c>
      <c r="BE36" s="388">
        <f>IF(OR($AW36=BE$3,$AW36=BE$4),COUNTIF($AW$8:$AW36,BE$3)+COUNTIF($AW$8:$AW36,BE$4),0)</f>
        <v>0</v>
      </c>
      <c r="BF36" s="416" t="str">
        <f t="shared" si="5"/>
        <v/>
      </c>
      <c r="BG36" s="388">
        <f>IF($AW36=BG$4,COUNTIFS($AV$8:$AV36,BG$3,$AW$8:$AW36,BG$4),0)</f>
        <v>0</v>
      </c>
      <c r="BH36" s="416" t="str">
        <f t="shared" si="6"/>
        <v/>
      </c>
      <c r="BI36" s="388">
        <f>IF($AW36=BI$3,COUNTIF($AW$8:$AW36,BI$3),0)</f>
        <v>0</v>
      </c>
      <c r="BJ36" s="416" t="str">
        <f t="shared" si="7"/>
        <v/>
      </c>
      <c r="BK36" s="388">
        <f>IF($AW36=BK$3,COUNTIF($AW$8:$AW36,BK$3),0)</f>
        <v>0</v>
      </c>
      <c r="BL36" s="416" t="str">
        <f t="shared" si="8"/>
        <v/>
      </c>
      <c r="BM36" s="388">
        <f>IF($AW36&lt;&gt;BM$3,COUNTIF($AW$8:$AW36,"&lt;&gt;"&amp;BM$3),0)</f>
        <v>0</v>
      </c>
      <c r="BN36" s="416" t="str">
        <f t="shared" si="9"/>
        <v/>
      </c>
      <c r="BO36" s="388">
        <f>IF($AW36=BO$3,COUNTIF($AW$8:$AW36,BO$3),0)</f>
        <v>0</v>
      </c>
      <c r="BP36" s="416" t="str">
        <f t="shared" si="10"/>
        <v/>
      </c>
      <c r="BQ36" s="381"/>
      <c r="BR36" s="381"/>
    </row>
    <row r="37" spans="1:70" ht="15" customHeight="1">
      <c r="A37" s="990" t="s">
        <v>1153</v>
      </c>
      <c r="B37" s="2388" t="str">
        <f>"栄養管理加算【"&amp;IF(R37=1,"配置",IF(R37=2,"兼務",IF(R37=3,"嘱託","-")))&amp;"】"</f>
        <v>栄養管理加算【-】</v>
      </c>
      <c r="C37" s="2389"/>
      <c r="D37" s="2547" t="str">
        <f>IF(W37,T37,"")</f>
        <v/>
      </c>
      <c r="E37" s="2548"/>
      <c r="F37" s="2170"/>
      <c r="G37" s="2170"/>
      <c r="H37" s="2155"/>
      <c r="I37" s="865" t="str">
        <f t="shared" ref="I37:I42" si="38">IF(OR(NOT(W37),U37=0),"",U37)</f>
        <v/>
      </c>
      <c r="J37" s="1012" t="str">
        <f t="shared" ref="J37:J42" si="39">IF(OR(F37=0,F37=""),"",IF(W37,IF(X37,IF(OR(Y37,V37=3),IF(AD37,IF(OR(AE37,V37=2,V37=3),"○","要常勤"),"時間無"),"重複"),"名簿無"),"対象外"))</f>
        <v/>
      </c>
      <c r="K37" s="847" t="s">
        <v>802</v>
      </c>
      <c r="L37" s="885" t="str">
        <f t="shared" ref="L37" si="40">IF(AI37=1,"調整①→",IF(AI37=5,"調整②→",IF(AI37=2,"",IF(AI37=3,"全計上→","エラー"))))</f>
        <v/>
      </c>
      <c r="M37" s="883">
        <f>IF(OR(AND(J37&lt;&gt;"○",J37&lt;&gt;""),AI37=4),"×",IF(J37="",0,AJ37/$AM$2))</f>
        <v>0</v>
      </c>
      <c r="N37" s="1006" t="str">
        <f>IF(Q37,"○","×")</f>
        <v>×</v>
      </c>
      <c r="O37" s="989" t="str">
        <f t="shared" si="28"/>
        <v>-</v>
      </c>
      <c r="P37" s="230"/>
      <c r="Q37" s="530" t="b">
        <f>AND(【様式１】総括表・個票!AI313,OR(R37=1,R37=2))</f>
        <v>0</v>
      </c>
      <c r="R37" s="534">
        <f>IF(【様式１】総括表・個票!AI318,1,IF(【様式１】総括表・個票!AI319,2,IF(【様式１】総括表・個票!AI321,3,0)))</f>
        <v>0</v>
      </c>
      <c r="S37" s="591" t="b">
        <f>AND($J37="○",O101&gt;=0)</f>
        <v>0</v>
      </c>
      <c r="T37" s="530" t="str">
        <f>$BD$6</f>
        <v>栄養士等</v>
      </c>
      <c r="U37" s="498">
        <f>IFERROR(VLOOKUP($F37,$AU$8:$AX$107,4,FALSE),0)</f>
        <v>0</v>
      </c>
      <c r="V37" s="1093">
        <f>IF(R37=2,3,2)</f>
        <v>2</v>
      </c>
      <c r="W37" s="592" t="b">
        <f>AND(Q37,OR(R37=1,R37=2))</f>
        <v>0</v>
      </c>
      <c r="X37" s="520" t="b">
        <f t="shared" ref="X37:X42" ca="1" si="41">COUNTIF(INDIRECT(T37),F37)&gt;0</f>
        <v>0</v>
      </c>
      <c r="Y37" s="500" t="b">
        <f>COUNTIF($AC$15:AC36,AC37)+COUNTIF(AC38:$AC$69,AC37)-IF(AND(ISNUMBER(Z37),Z37=AC37),1,0)=0</f>
        <v>0</v>
      </c>
      <c r="Z37" s="539" t="s">
        <v>801</v>
      </c>
      <c r="AA37" s="539" t="s">
        <v>801</v>
      </c>
      <c r="AB37" s="539" t="s">
        <v>801</v>
      </c>
      <c r="AC37" s="536">
        <f t="shared" ref="AC37:AC42" si="42">IF(V37=3,0,IFERROR(INDEX($AT$8:$AT$107,MATCH($F37,AU$8:AU$107,0),1),0))</f>
        <v>0</v>
      </c>
      <c r="AD37" s="522" t="b">
        <f t="shared" si="20"/>
        <v>0</v>
      </c>
      <c r="AE37" s="551" t="b">
        <f t="shared" si="21"/>
        <v>0</v>
      </c>
      <c r="AF37" s="530" t="s">
        <v>801</v>
      </c>
      <c r="AG37" s="530" t="s">
        <v>801</v>
      </c>
      <c r="AH37" s="529">
        <v>2</v>
      </c>
      <c r="AI37" s="418">
        <f t="shared" ref="AI37:AI42" si="43">IF(AND($W37,$J37="○"),IF($K37="-",IF($U37&lt;IF($AH37=5,$AL$4,$AL$3),$AH37,2),IF($K37=0,IF($U37&lt;IF($AH37=5,$AL$4,$AL$3),IF(OR($AH37=1,$AH37=5),$AH37,3),3),IF(K37&lt;IF($AH37=5,$AL$4,$AL$3),$AH37,IF($K37&gt;$U37,4,2)))),2)</f>
        <v>2</v>
      </c>
      <c r="AJ37" s="420">
        <f t="shared" ref="AJ37:AJ42" si="44">IF(AI37=1,$AL$3,IF(AI37=5,$AL$4,IF(AI37=2,IF(K37="-",U37,K37),IF(AI37=3,U37,"×"))))</f>
        <v>0</v>
      </c>
      <c r="AM37" s="386"/>
      <c r="AP37" s="240"/>
      <c r="AQ37" s="240"/>
      <c r="AR37" s="240"/>
      <c r="AS37" s="240"/>
      <c r="AT37" s="388">
        <f t="shared" si="1"/>
        <v>30</v>
      </c>
      <c r="AU37" s="1081" t="str">
        <f>AT37&amp;" "&amp;IF(AW37&lt;&gt;"-",【様式2】職員名簿!B69&amp;"/"&amp;AV37&amp;"/"&amp;AW37,"")</f>
        <v xml:space="preserve">30 </v>
      </c>
      <c r="AV37" s="1081">
        <f>【様式2】職員名簿!E69</f>
        <v>0</v>
      </c>
      <c r="AW37" s="1081" t="str">
        <f>IF(【様式2】職員名簿!J69="エラー","-",IF(AND(【様式2】職員名簿!C69=$AW$3,【様式2】職員名簿!J69=$AW$4),$AW$3,【様式2】職員名簿!J69))</f>
        <v>-</v>
      </c>
      <c r="AX37" s="392">
        <f>IF($AV37="常勤",$AM$2,IF($AV37="非常勤",【様式2】職員名簿!G69,0))</f>
        <v>0</v>
      </c>
      <c r="AY37" s="415">
        <f>IF($AW37=AY$3,COUNTIF($AW$8:$AW37,AY$3),0)</f>
        <v>0</v>
      </c>
      <c r="AZ37" s="416" t="str">
        <f t="shared" si="2"/>
        <v/>
      </c>
      <c r="BA37" s="388">
        <f>IF(OR($AW37=BA$3,$AW37=BA$4),COUNTIF($AW$8:$AW37,BA$3)+COUNTIF($AW$8:$AW37,BA$4),0)</f>
        <v>0</v>
      </c>
      <c r="BB37" s="416" t="str">
        <f t="shared" si="3"/>
        <v/>
      </c>
      <c r="BC37" s="418">
        <f>IF($AW37=BC$3,COUNTIF($AW$8:$AW37,BC$3),0)</f>
        <v>0</v>
      </c>
      <c r="BD37" s="416" t="str">
        <f t="shared" si="4"/>
        <v/>
      </c>
      <c r="BE37" s="388">
        <f>IF(OR($AW37=BE$3,$AW37=BE$4),COUNTIF($AW$8:$AW37,BE$3)+COUNTIF($AW$8:$AW37,BE$4),0)</f>
        <v>0</v>
      </c>
      <c r="BF37" s="416" t="str">
        <f t="shared" si="5"/>
        <v/>
      </c>
      <c r="BG37" s="388">
        <f>IF($AW37=BG$4,COUNTIFS($AV$8:$AV37,BG$3,$AW$8:$AW37,BG$4),0)</f>
        <v>0</v>
      </c>
      <c r="BH37" s="416" t="str">
        <f t="shared" si="6"/>
        <v/>
      </c>
      <c r="BI37" s="388">
        <f>IF($AW37=BI$3,COUNTIF($AW$8:$AW37,BI$3),0)</f>
        <v>0</v>
      </c>
      <c r="BJ37" s="416" t="str">
        <f t="shared" si="7"/>
        <v/>
      </c>
      <c r="BK37" s="388">
        <f>IF($AW37=BK$3,COUNTIF($AW$8:$AW37,BK$3),0)</f>
        <v>0</v>
      </c>
      <c r="BL37" s="416" t="str">
        <f t="shared" si="8"/>
        <v/>
      </c>
      <c r="BM37" s="388">
        <f>IF($AW37&lt;&gt;BM$3,COUNTIF($AW$8:$AW37,"&lt;&gt;"&amp;BM$3),0)</f>
        <v>0</v>
      </c>
      <c r="BN37" s="416" t="str">
        <f t="shared" si="9"/>
        <v/>
      </c>
      <c r="BO37" s="388">
        <f>IF($AW37=BO$3,COUNTIF($AW$8:$AW37,BO$3),0)</f>
        <v>0</v>
      </c>
      <c r="BP37" s="416" t="str">
        <f t="shared" si="10"/>
        <v/>
      </c>
      <c r="BQ37" s="381"/>
      <c r="BR37" s="381"/>
    </row>
    <row r="38" spans="1:70" ht="15" customHeight="1">
      <c r="A38" s="2163" t="s">
        <v>764</v>
      </c>
      <c r="B38" s="1585" t="str">
        <f>"給食実施加算【"&amp;IF(R38=1,"調理‐雇用",IF(R38=2,"調理‐委託",IF(R38=3,"搬入","-")))&amp;"】"</f>
        <v>給食実施加算【-】</v>
      </c>
      <c r="C38" s="1586"/>
      <c r="D38" s="2435" t="s">
        <v>755</v>
      </c>
      <c r="E38" s="1002" t="str">
        <f>IF(W38,T38,"")</f>
        <v/>
      </c>
      <c r="F38" s="2175"/>
      <c r="G38" s="2175"/>
      <c r="H38" s="2176"/>
      <c r="I38" s="861" t="str">
        <f t="shared" si="38"/>
        <v/>
      </c>
      <c r="J38" s="855" t="str">
        <f t="shared" si="39"/>
        <v/>
      </c>
      <c r="K38" s="848" t="s">
        <v>802</v>
      </c>
      <c r="L38" s="890"/>
      <c r="M38" s="891">
        <f>IF(OR(AND(J38&lt;&gt;"○",J38&lt;&gt;""),AI38=4),"×",IF(J38="",0,AJ38/$AM$2))</f>
        <v>0</v>
      </c>
      <c r="N38" s="2313" t="str">
        <f t="shared" ref="N38:N42" si="45">IF(Q38,"○","×")</f>
        <v>×</v>
      </c>
      <c r="O38" s="2188" t="str">
        <f>IF(Q38,IF(S38,"○","×"),"-")</f>
        <v>-</v>
      </c>
      <c r="P38" s="423"/>
      <c r="Q38" s="2183" t="b">
        <f>【様式１】総括表・個票!AI133</f>
        <v>0</v>
      </c>
      <c r="R38" s="2181">
        <f>IF(【様式１】総括表・個票!$AI$140,1,IF(【様式１】総括表・個票!$AI$141,2,IF(【様式１】総括表・個票!$AI$144,3,0)))</f>
        <v>0</v>
      </c>
      <c r="S38" s="2183" t="b">
        <f>AND(OR(AND(R38=1,W38,J38="○"),AND(R38=2,W39,J39="○"),R38=3),O101&gt;=0)</f>
        <v>0</v>
      </c>
      <c r="T38" s="529" t="str">
        <f>BF6</f>
        <v>調理員</v>
      </c>
      <c r="U38" s="417">
        <f>IFERROR(VLOOKUP($F38,$AU$8:$AX$107,4,FALSE),0)</f>
        <v>0</v>
      </c>
      <c r="V38" s="529">
        <v>2</v>
      </c>
      <c r="W38" s="529" t="b">
        <f>AND(Q38,R38=1)</f>
        <v>0</v>
      </c>
      <c r="X38" s="520" t="b">
        <f t="shared" ca="1" si="41"/>
        <v>0</v>
      </c>
      <c r="Y38" s="500" t="b">
        <f>COUNTIF($AC$15:AC37,AC38)+COUNTIF(AC39:$AC$69,AC38)-IF(AND(ISNUMBER(Z38),Z38=AC38),1,0)=0</f>
        <v>0</v>
      </c>
      <c r="Z38" s="539" t="s">
        <v>801</v>
      </c>
      <c r="AA38" s="539" t="s">
        <v>801</v>
      </c>
      <c r="AB38" s="539" t="s">
        <v>801</v>
      </c>
      <c r="AC38" s="536">
        <f t="shared" si="42"/>
        <v>0</v>
      </c>
      <c r="AD38" s="418" t="b">
        <f t="shared" si="20"/>
        <v>0</v>
      </c>
      <c r="AE38" s="392" t="b">
        <f t="shared" si="21"/>
        <v>0</v>
      </c>
      <c r="AF38" s="529" t="s">
        <v>801</v>
      </c>
      <c r="AG38" s="529" t="s">
        <v>801</v>
      </c>
      <c r="AH38" s="529">
        <v>2</v>
      </c>
      <c r="AI38" s="418">
        <f t="shared" si="43"/>
        <v>2</v>
      </c>
      <c r="AJ38" s="420">
        <f t="shared" si="44"/>
        <v>0</v>
      </c>
      <c r="AP38" s="240"/>
      <c r="AR38" s="240"/>
      <c r="AS38" s="240"/>
      <c r="AT38" s="388">
        <f t="shared" si="1"/>
        <v>31</v>
      </c>
      <c r="AU38" s="1081" t="str">
        <f>AT38&amp;" "&amp;IF(AW38&lt;&gt;"-",【様式2】職員名簿!B70&amp;"/"&amp;AV38&amp;"/"&amp;AW38,"")</f>
        <v xml:space="preserve">31 </v>
      </c>
      <c r="AV38" s="1081">
        <f>【様式2】職員名簿!E70</f>
        <v>0</v>
      </c>
      <c r="AW38" s="1081" t="str">
        <f>IF(【様式2】職員名簿!J70="エラー","-",IF(AND(【様式2】職員名簿!C70=$AW$3,【様式2】職員名簿!J70=$AW$4),$AW$3,【様式2】職員名簿!J70))</f>
        <v>-</v>
      </c>
      <c r="AX38" s="392">
        <f>IF($AV38="常勤",$AM$2,IF($AV38="非常勤",【様式2】職員名簿!G70,0))</f>
        <v>0</v>
      </c>
      <c r="AY38" s="415">
        <f>IF($AW38=AY$3,COUNTIF($AW$8:$AW38,AY$3),0)</f>
        <v>0</v>
      </c>
      <c r="AZ38" s="416" t="str">
        <f t="shared" si="2"/>
        <v/>
      </c>
      <c r="BA38" s="388">
        <f>IF(OR($AW38=BA$3,$AW38=BA$4),COUNTIF($AW$8:$AW38,BA$3)+COUNTIF($AW$8:$AW38,BA$4),0)</f>
        <v>0</v>
      </c>
      <c r="BB38" s="416" t="str">
        <f t="shared" si="3"/>
        <v/>
      </c>
      <c r="BC38" s="418">
        <f>IF($AW38=BC$3,COUNTIF($AW$8:$AW38,BC$3),0)</f>
        <v>0</v>
      </c>
      <c r="BD38" s="416" t="str">
        <f t="shared" si="4"/>
        <v/>
      </c>
      <c r="BE38" s="388">
        <f>IF(OR($AW38=BE$3,$AW38=BE$4),COUNTIF($AW$8:$AW38,BE$3)+COUNTIF($AW$8:$AW38,BE$4),0)</f>
        <v>0</v>
      </c>
      <c r="BF38" s="416" t="str">
        <f t="shared" si="5"/>
        <v/>
      </c>
      <c r="BG38" s="388">
        <f>IF($AW38=BG$4,COUNTIFS($AV$8:$AV38,BG$3,$AW$8:$AW38,BG$4),0)</f>
        <v>0</v>
      </c>
      <c r="BH38" s="416" t="str">
        <f t="shared" si="6"/>
        <v/>
      </c>
      <c r="BI38" s="388">
        <f>IF($AW38=BI$3,COUNTIF($AW$8:$AW38,BI$3),0)</f>
        <v>0</v>
      </c>
      <c r="BJ38" s="416" t="str">
        <f t="shared" si="7"/>
        <v/>
      </c>
      <c r="BK38" s="388">
        <f>IF($AW38=BK$3,COUNTIF($AW$8:$AW38,BK$3),0)</f>
        <v>0</v>
      </c>
      <c r="BL38" s="416" t="str">
        <f t="shared" si="8"/>
        <v/>
      </c>
      <c r="BM38" s="388">
        <f>IF($AW38&lt;&gt;BM$3,COUNTIF($AW$8:$AW38,"&lt;&gt;"&amp;BM$3),0)</f>
        <v>0</v>
      </c>
      <c r="BN38" s="416" t="str">
        <f t="shared" si="9"/>
        <v/>
      </c>
      <c r="BO38" s="388">
        <f>IF($AW38=BO$3,COUNTIF($AW$8:$AW38,BO$3),0)</f>
        <v>0</v>
      </c>
      <c r="BP38" s="416" t="str">
        <f t="shared" si="10"/>
        <v/>
      </c>
      <c r="BQ38" s="381"/>
      <c r="BR38" s="381"/>
    </row>
    <row r="39" spans="1:70" ht="15" customHeight="1">
      <c r="A39" s="2165"/>
      <c r="B39" s="1588"/>
      <c r="C39" s="1589"/>
      <c r="D39" s="2436"/>
      <c r="E39" s="1001" t="str">
        <f>IF(W39,T39,"")</f>
        <v/>
      </c>
      <c r="F39" s="2202" t="str">
        <f>IF(W39,BR9,"")</f>
        <v/>
      </c>
      <c r="G39" s="2203"/>
      <c r="H39" s="2203"/>
      <c r="I39" s="856" t="str">
        <f t="shared" si="38"/>
        <v/>
      </c>
      <c r="J39" s="856" t="str">
        <f>IF(OR(F39=0,F39=""),"",IF(W39,IF(X39,IF(OR(Y39,V39=3),IF(AD39,IF(OR(AE39,V39=2,V39=3),"○","要常勤"),"時間無"),"重複"),"名簿無"),"対象外"))</f>
        <v/>
      </c>
      <c r="K39" s="849" t="s">
        <v>811</v>
      </c>
      <c r="L39" s="892" t="s">
        <v>905</v>
      </c>
      <c r="M39" s="618" t="s">
        <v>843</v>
      </c>
      <c r="N39" s="2314" t="str">
        <f t="shared" si="45"/>
        <v>×</v>
      </c>
      <c r="O39" s="2189" t="str">
        <f t="shared" ref="O39:O42" si="46">IF(Q39,IF(S39,"○","×"),"-")</f>
        <v>-</v>
      </c>
      <c r="P39" s="423"/>
      <c r="Q39" s="2184"/>
      <c r="R39" s="2182"/>
      <c r="S39" s="2184"/>
      <c r="T39" s="529" t="s">
        <v>830</v>
      </c>
      <c r="U39" s="526">
        <f>BS9</f>
        <v>0</v>
      </c>
      <c r="V39" s="542">
        <v>3</v>
      </c>
      <c r="W39" s="542" t="b">
        <f>AND(Q38,R38=2)</f>
        <v>0</v>
      </c>
      <c r="X39" s="520" t="b">
        <f t="shared" ca="1" si="41"/>
        <v>0</v>
      </c>
      <c r="Y39" s="500" t="b">
        <f>COUNTIF($AC$15:AC38,AC39)+COUNTIF(AC40:$AC$69,AC39)-IF(AND(ISNUMBER(Z39),Z39=AC39),1,0)=0</f>
        <v>0</v>
      </c>
      <c r="Z39" s="539" t="s">
        <v>801</v>
      </c>
      <c r="AA39" s="539" t="s">
        <v>801</v>
      </c>
      <c r="AB39" s="539" t="s">
        <v>801</v>
      </c>
      <c r="AC39" s="499">
        <f t="shared" si="42"/>
        <v>0</v>
      </c>
      <c r="AD39" s="521" t="b">
        <f t="shared" si="20"/>
        <v>0</v>
      </c>
      <c r="AE39" s="392" t="b">
        <f t="shared" si="21"/>
        <v>0</v>
      </c>
      <c r="AF39" s="529" t="s">
        <v>801</v>
      </c>
      <c r="AG39" s="529" t="s">
        <v>801</v>
      </c>
      <c r="AH39" s="529">
        <v>2</v>
      </c>
      <c r="AI39" s="418">
        <f t="shared" si="43"/>
        <v>2</v>
      </c>
      <c r="AJ39" s="420">
        <f t="shared" si="44"/>
        <v>0</v>
      </c>
      <c r="AM39" s="386"/>
      <c r="AO39" s="386"/>
      <c r="AR39" s="240"/>
      <c r="AS39" s="240"/>
      <c r="AT39" s="388">
        <f t="shared" si="1"/>
        <v>32</v>
      </c>
      <c r="AU39" s="1081" t="str">
        <f>AT39&amp;" "&amp;IF(AW39&lt;&gt;"-",【様式2】職員名簿!B71&amp;"/"&amp;AV39&amp;"/"&amp;AW39,"")</f>
        <v xml:space="preserve">32 </v>
      </c>
      <c r="AV39" s="1081">
        <f>【様式2】職員名簿!E71</f>
        <v>0</v>
      </c>
      <c r="AW39" s="1081" t="str">
        <f>IF(【様式2】職員名簿!J71="エラー","-",IF(AND(【様式2】職員名簿!C71=$AW$3,【様式2】職員名簿!J71=$AW$4),$AW$3,【様式2】職員名簿!J71))</f>
        <v>-</v>
      </c>
      <c r="AX39" s="392">
        <f>IF($AV39="常勤",$AM$2,IF($AV39="非常勤",【様式2】職員名簿!G71,0))</f>
        <v>0</v>
      </c>
      <c r="AY39" s="415">
        <f>IF($AW39=AY$3,COUNTIF($AW$8:$AW39,AY$3),0)</f>
        <v>0</v>
      </c>
      <c r="AZ39" s="416" t="str">
        <f t="shared" si="2"/>
        <v/>
      </c>
      <c r="BA39" s="388">
        <f>IF(OR($AW39=BA$3,$AW39=BA$4),COUNTIF($AW$8:$AW39,BA$3)+COUNTIF($AW$8:$AW39,BA$4),0)</f>
        <v>0</v>
      </c>
      <c r="BB39" s="416" t="str">
        <f t="shared" si="3"/>
        <v/>
      </c>
      <c r="BC39" s="418">
        <f>IF($AW39=BC$3,COUNTIF($AW$8:$AW39,BC$3),0)</f>
        <v>0</v>
      </c>
      <c r="BD39" s="416" t="str">
        <f t="shared" si="4"/>
        <v/>
      </c>
      <c r="BE39" s="388">
        <f>IF(OR($AW39=BE$3,$AW39=BE$4),COUNTIF($AW$8:$AW39,BE$3)+COUNTIF($AW$8:$AW39,BE$4),0)</f>
        <v>0</v>
      </c>
      <c r="BF39" s="416" t="str">
        <f t="shared" si="5"/>
        <v/>
      </c>
      <c r="BG39" s="388">
        <f>IF($AW39=BG$4,COUNTIFS($AV$8:$AV39,BG$3,$AW$8:$AW39,BG$4),0)</f>
        <v>0</v>
      </c>
      <c r="BH39" s="416" t="str">
        <f t="shared" si="6"/>
        <v/>
      </c>
      <c r="BI39" s="388">
        <f>IF($AW39=BI$3,COUNTIF($AW$8:$AW39,BI$3),0)</f>
        <v>0</v>
      </c>
      <c r="BJ39" s="416" t="str">
        <f t="shared" si="7"/>
        <v/>
      </c>
      <c r="BK39" s="388">
        <f>IF($AW39=BK$3,COUNTIF($AW$8:$AW39,BK$3),0)</f>
        <v>0</v>
      </c>
      <c r="BL39" s="416" t="str">
        <f t="shared" si="8"/>
        <v/>
      </c>
      <c r="BM39" s="388">
        <f>IF($AW39&lt;&gt;BM$3,COUNTIF($AW$8:$AW39,"&lt;&gt;"&amp;BM$3),0)</f>
        <v>0</v>
      </c>
      <c r="BN39" s="416" t="str">
        <f t="shared" si="9"/>
        <v/>
      </c>
      <c r="BO39" s="388">
        <f>IF($AW39=BO$3,COUNTIF($AW$8:$AW39,BO$3),0)</f>
        <v>0</v>
      </c>
      <c r="BP39" s="416" t="str">
        <f t="shared" si="10"/>
        <v/>
      </c>
      <c r="BQ39" s="381"/>
      <c r="BR39" s="381"/>
    </row>
    <row r="40" spans="1:70" ht="15" customHeight="1">
      <c r="A40" s="2164" t="s">
        <v>765</v>
      </c>
      <c r="B40" s="2388" t="s">
        <v>630</v>
      </c>
      <c r="C40" s="2389"/>
      <c r="D40" s="2190" t="str">
        <f>IF(W40,T40,"")</f>
        <v/>
      </c>
      <c r="E40" s="2191"/>
      <c r="F40" s="2170"/>
      <c r="G40" s="2170"/>
      <c r="H40" s="2155"/>
      <c r="I40" s="866" t="str">
        <f t="shared" si="38"/>
        <v/>
      </c>
      <c r="J40" s="1012" t="str">
        <f t="shared" si="39"/>
        <v/>
      </c>
      <c r="K40" s="847" t="s">
        <v>802</v>
      </c>
      <c r="L40" s="882" t="str">
        <f t="shared" ref="L40:L42" si="47">IF(AI40=1,"調整①→",IF(AI40=5,"調整②→",IF(AI40=2,"",IF(AI40=3,"全計上→","エラー"))))</f>
        <v/>
      </c>
      <c r="M40" s="883">
        <f>IF(OR(AND(J40&lt;&gt;"○",J40&lt;&gt;""),AI40=4),"×",IF(J40="",0,AJ40/$AM$2))</f>
        <v>0</v>
      </c>
      <c r="N40" s="1006" t="str">
        <f>IF(Q40,"○","×")</f>
        <v>×</v>
      </c>
      <c r="O40" s="989" t="str">
        <f t="shared" si="46"/>
        <v>-</v>
      </c>
      <c r="P40" s="230"/>
      <c r="Q40" s="529" t="b">
        <f>【様式１】総括表・個票!AI281</f>
        <v>0</v>
      </c>
      <c r="R40" s="533" t="b">
        <f>【様式１】総括表・個票!AI283</f>
        <v>0</v>
      </c>
      <c r="S40" s="529" t="b">
        <f>AND(J40="○",$O$103&gt;=0)</f>
        <v>0</v>
      </c>
      <c r="T40" s="529" t="str">
        <f>$BJ$6</f>
        <v>事務員</v>
      </c>
      <c r="U40" s="417">
        <f>IFERROR(VLOOKUP($F40,$AU$8:$AX$107,4,FALSE),0)</f>
        <v>0</v>
      </c>
      <c r="V40" s="529">
        <v>2</v>
      </c>
      <c r="W40" s="529" t="b">
        <f>AND(Q40,R40)</f>
        <v>0</v>
      </c>
      <c r="X40" s="520" t="b">
        <f t="shared" ca="1" si="41"/>
        <v>0</v>
      </c>
      <c r="Y40" s="500" t="b">
        <f>COUNTIF($AC$15:AC39,AC40)+COUNTIF(AC41:$AC$69,AC40)-IF(AND(ISNUMBER(Z40),Z40=AC40),1,0)=0</f>
        <v>0</v>
      </c>
      <c r="Z40" s="539" t="s">
        <v>801</v>
      </c>
      <c r="AA40" s="539" t="s">
        <v>801</v>
      </c>
      <c r="AB40" s="539" t="s">
        <v>801</v>
      </c>
      <c r="AC40" s="536">
        <f t="shared" si="42"/>
        <v>0</v>
      </c>
      <c r="AD40" s="418" t="b">
        <f t="shared" si="20"/>
        <v>0</v>
      </c>
      <c r="AE40" s="392" t="b">
        <f t="shared" si="21"/>
        <v>0</v>
      </c>
      <c r="AF40" s="529" t="s">
        <v>801</v>
      </c>
      <c r="AG40" s="529" t="s">
        <v>801</v>
      </c>
      <c r="AH40" s="529">
        <v>1</v>
      </c>
      <c r="AI40" s="418">
        <f t="shared" si="43"/>
        <v>2</v>
      </c>
      <c r="AJ40" s="420">
        <f t="shared" si="44"/>
        <v>0</v>
      </c>
      <c r="AM40" s="386"/>
      <c r="AN40" s="386"/>
      <c r="AO40" s="386"/>
      <c r="AQ40" s="240"/>
      <c r="AR40" s="240"/>
      <c r="AS40" s="240"/>
      <c r="AT40" s="388">
        <f t="shared" ref="AT40:AT71" si="48">ROW()-ROW($AT$7)</f>
        <v>33</v>
      </c>
      <c r="AU40" s="1081" t="str">
        <f>AT40&amp;" "&amp;IF(AW40&lt;&gt;"-",【様式2】職員名簿!B72&amp;"/"&amp;AV40&amp;"/"&amp;AW40,"")</f>
        <v xml:space="preserve">33 </v>
      </c>
      <c r="AV40" s="1081">
        <f>【様式2】職員名簿!E72</f>
        <v>0</v>
      </c>
      <c r="AW40" s="1081" t="str">
        <f>IF(【様式2】職員名簿!J72="エラー","-",IF(AND(【様式2】職員名簿!C72=$AW$3,【様式2】職員名簿!J72=$AW$4),$AW$3,【様式2】職員名簿!J72))</f>
        <v>-</v>
      </c>
      <c r="AX40" s="392">
        <f>IF($AV40="常勤",$AM$2,IF($AV40="非常勤",【様式2】職員名簿!G72,0))</f>
        <v>0</v>
      </c>
      <c r="AY40" s="415">
        <f>IF($AW40=AY$3,COUNTIF($AW$8:$AW40,AY$3),0)</f>
        <v>0</v>
      </c>
      <c r="AZ40" s="416" t="str">
        <f t="shared" ref="AZ40:AZ71" si="49">IFERROR(INDEX($AU$8:$AU$107,MATCH($AT40,AY$8:AY$107,0),1),"")</f>
        <v/>
      </c>
      <c r="BA40" s="388">
        <f>IF(OR($AW40=BA$3,$AW40=BA$4),COUNTIF($AW$8:$AW40,BA$3)+COUNTIF($AW$8:$AW40,BA$4),0)</f>
        <v>0</v>
      </c>
      <c r="BB40" s="416" t="str">
        <f t="shared" ref="BB40:BB71" si="50">IFERROR(INDEX($AU$8:$AU$107,MATCH($AT40,BA$8:BA$107,0),1),"")</f>
        <v/>
      </c>
      <c r="BC40" s="418">
        <f>IF($AW40=BC$3,COUNTIF($AW$8:$AW40,BC$3),0)</f>
        <v>0</v>
      </c>
      <c r="BD40" s="416" t="str">
        <f t="shared" ref="BD40:BD71" si="51">IFERROR(INDEX($AU$8:$AU$107,MATCH($AT40,BC$8:BC$107,0),1),"")</f>
        <v/>
      </c>
      <c r="BE40" s="388">
        <f>IF(OR($AW40=BE$3,$AW40=BE$4),COUNTIF($AW$8:$AW40,BE$3)+COUNTIF($AW$8:$AW40,BE$4),0)</f>
        <v>0</v>
      </c>
      <c r="BF40" s="416" t="str">
        <f t="shared" ref="BF40:BF71" si="52">IFERROR(INDEX($AU$8:$AU$107,MATCH($AT40,BE$8:BE$107,0),1),"")</f>
        <v/>
      </c>
      <c r="BG40" s="388">
        <f>IF($AW40=BG$4,COUNTIFS($AV$8:$AV40,BG$3,$AW$8:$AW40,BG$4),0)</f>
        <v>0</v>
      </c>
      <c r="BH40" s="416" t="str">
        <f t="shared" ref="BH40:BH71" si="53">IFERROR(INDEX($AU$8:$AU$107,MATCH($AT40,BG$8:BG$107,0),1),"")</f>
        <v/>
      </c>
      <c r="BI40" s="388">
        <f>IF($AW40=BI$3,COUNTIF($AW$8:$AW40,BI$3),0)</f>
        <v>0</v>
      </c>
      <c r="BJ40" s="416" t="str">
        <f t="shared" ref="BJ40:BJ71" si="54">IFERROR(INDEX($AU$8:$AU$107,MATCH($AT40,BI$8:BI$107,0),1),"")</f>
        <v/>
      </c>
      <c r="BK40" s="388">
        <f>IF($AW40=BK$3,COUNTIF($AW$8:$AW40,BK$3),0)</f>
        <v>0</v>
      </c>
      <c r="BL40" s="416" t="str">
        <f t="shared" ref="BL40:BL71" si="55">IFERROR(INDEX($AU$8:$AU$107,MATCH($AT40,BK$8:BK$107,0),1),"")</f>
        <v/>
      </c>
      <c r="BM40" s="388">
        <f>IF($AW40&lt;&gt;BM$3,COUNTIF($AW$8:$AW40,"&lt;&gt;"&amp;BM$3),0)</f>
        <v>0</v>
      </c>
      <c r="BN40" s="416" t="str">
        <f t="shared" ref="BN40:BN71" si="56">IFERROR(INDEX($AU$8:$AU$107,MATCH($AT40,BM$8:BM$107,0),1),"")</f>
        <v/>
      </c>
      <c r="BO40" s="388">
        <f>IF($AW40=BO$3,COUNTIF($AW$8:$AW40,BO$3),0)</f>
        <v>0</v>
      </c>
      <c r="BP40" s="416" t="str">
        <f t="shared" ref="BP40:BP71" si="57">IFERROR(INDEX($AU$8:$AU$107,MATCH($AT40,BO$8:BO$107,0),1),"")</f>
        <v/>
      </c>
      <c r="BQ40" s="381"/>
      <c r="BR40" s="381"/>
    </row>
    <row r="41" spans="1:70" ht="15" customHeight="1">
      <c r="A41" s="2164"/>
      <c r="B41" s="2241" t="s">
        <v>56</v>
      </c>
      <c r="C41" s="2242"/>
      <c r="D41" s="2249" t="str">
        <f>IF(W41,T41,"")</f>
        <v/>
      </c>
      <c r="E41" s="2250"/>
      <c r="F41" s="2247"/>
      <c r="G41" s="2247"/>
      <c r="H41" s="2248"/>
      <c r="I41" s="867" t="str">
        <f t="shared" si="38"/>
        <v/>
      </c>
      <c r="J41" s="857" t="str">
        <f t="shared" si="39"/>
        <v/>
      </c>
      <c r="K41" s="850" t="s">
        <v>802</v>
      </c>
      <c r="L41" s="893" t="str">
        <f t="shared" si="47"/>
        <v/>
      </c>
      <c r="M41" s="894">
        <f>IF(OR(AND(J41&lt;&gt;"○",J41&lt;&gt;""),AI41=4),"×",IF(J41="",0,AJ41/$AM$2))</f>
        <v>0</v>
      </c>
      <c r="N41" s="615" t="str">
        <f>IF(Q41,"○","×")</f>
        <v>×</v>
      </c>
      <c r="O41" s="807" t="str">
        <f t="shared" si="46"/>
        <v>-</v>
      </c>
      <c r="P41" s="230"/>
      <c r="Q41" s="529" t="b">
        <f>【様式１】総括表・個票!AI303</f>
        <v>0</v>
      </c>
      <c r="R41" s="533" t="b">
        <f>AND(【様式１】総括表・個票!AI305,Q40)</f>
        <v>0</v>
      </c>
      <c r="S41" s="529" t="b">
        <f>AND(J41="○",$O$103&gt;=0)</f>
        <v>0</v>
      </c>
      <c r="T41" s="529" t="str">
        <f>$BJ$6</f>
        <v>事務員</v>
      </c>
      <c r="U41" s="417">
        <f>IFERROR(VLOOKUP($F41,$AU$8:$AX$107,4,FALSE),0)</f>
        <v>0</v>
      </c>
      <c r="V41" s="529">
        <v>2</v>
      </c>
      <c r="W41" s="529" t="b">
        <f>AND(Q41,R41)</f>
        <v>0</v>
      </c>
      <c r="X41" s="520" t="b">
        <f t="shared" ca="1" si="41"/>
        <v>0</v>
      </c>
      <c r="Y41" s="500" t="b">
        <f>COUNTIF($AC$15:AC40,AC41)+COUNTIF(AC42:$AC$69,AC41)-IF(AND(ISNUMBER(Z41),Z41=AC41),1,0)=0</f>
        <v>0</v>
      </c>
      <c r="Z41" s="539" t="s">
        <v>801</v>
      </c>
      <c r="AA41" s="539" t="s">
        <v>801</v>
      </c>
      <c r="AB41" s="539" t="s">
        <v>801</v>
      </c>
      <c r="AC41" s="536">
        <f t="shared" si="42"/>
        <v>0</v>
      </c>
      <c r="AD41" s="418" t="b">
        <f t="shared" si="20"/>
        <v>0</v>
      </c>
      <c r="AE41" s="392" t="b">
        <f t="shared" si="21"/>
        <v>0</v>
      </c>
      <c r="AF41" s="529" t="s">
        <v>801</v>
      </c>
      <c r="AG41" s="529" t="s">
        <v>801</v>
      </c>
      <c r="AH41" s="529">
        <v>1</v>
      </c>
      <c r="AI41" s="418">
        <f t="shared" si="43"/>
        <v>2</v>
      </c>
      <c r="AJ41" s="420">
        <f t="shared" si="44"/>
        <v>0</v>
      </c>
      <c r="AM41" s="386"/>
      <c r="AN41" s="386"/>
      <c r="AP41" s="240"/>
      <c r="AQ41" s="240"/>
      <c r="AR41" s="240"/>
      <c r="AS41" s="240"/>
      <c r="AT41" s="388">
        <f t="shared" si="48"/>
        <v>34</v>
      </c>
      <c r="AU41" s="1081" t="str">
        <f>AT41&amp;" "&amp;IF(AW41&lt;&gt;"-",【様式2】職員名簿!B73&amp;"/"&amp;AV41&amp;"/"&amp;AW41,"")</f>
        <v xml:space="preserve">34 </v>
      </c>
      <c r="AV41" s="1081">
        <f>【様式2】職員名簿!E73</f>
        <v>0</v>
      </c>
      <c r="AW41" s="1081" t="str">
        <f>IF(【様式2】職員名簿!J73="エラー","-",IF(AND(【様式2】職員名簿!C73=$AW$3,【様式2】職員名簿!J73=$AW$4),$AW$3,【様式2】職員名簿!J73))</f>
        <v>-</v>
      </c>
      <c r="AX41" s="392">
        <f>IF($AV41="常勤",$AM$2,IF($AV41="非常勤",【様式2】職員名簿!G73,0))</f>
        <v>0</v>
      </c>
      <c r="AY41" s="415">
        <f>IF($AW41=AY$3,COUNTIF($AW$8:$AW41,AY$3),0)</f>
        <v>0</v>
      </c>
      <c r="AZ41" s="416" t="str">
        <f t="shared" si="49"/>
        <v/>
      </c>
      <c r="BA41" s="388">
        <f>IF(OR($AW41=BA$3,$AW41=BA$4),COUNTIF($AW$8:$AW41,BA$3)+COUNTIF($AW$8:$AW41,BA$4),0)</f>
        <v>0</v>
      </c>
      <c r="BB41" s="416" t="str">
        <f t="shared" si="50"/>
        <v/>
      </c>
      <c r="BC41" s="418">
        <f>IF($AW41=BC$3,COUNTIF($AW$8:$AW41,BC$3),0)</f>
        <v>0</v>
      </c>
      <c r="BD41" s="416" t="str">
        <f t="shared" si="51"/>
        <v/>
      </c>
      <c r="BE41" s="388">
        <f>IF(OR($AW41=BE$3,$AW41=BE$4),COUNTIF($AW$8:$AW41,BE$3)+COUNTIF($AW$8:$AW41,BE$4),0)</f>
        <v>0</v>
      </c>
      <c r="BF41" s="416" t="str">
        <f t="shared" si="52"/>
        <v/>
      </c>
      <c r="BG41" s="388">
        <f>IF($AW41=BG$4,COUNTIFS($AV$8:$AV41,BG$3,$AW$8:$AW41,BG$4),0)</f>
        <v>0</v>
      </c>
      <c r="BH41" s="416" t="str">
        <f t="shared" si="53"/>
        <v/>
      </c>
      <c r="BI41" s="388">
        <f>IF($AW41=BI$3,COUNTIF($AW$8:$AW41,BI$3),0)</f>
        <v>0</v>
      </c>
      <c r="BJ41" s="416" t="str">
        <f t="shared" si="54"/>
        <v/>
      </c>
      <c r="BK41" s="388">
        <f>IF($AW41=BK$3,COUNTIF($AW$8:$AW41,BK$3),0)</f>
        <v>0</v>
      </c>
      <c r="BL41" s="416" t="str">
        <f t="shared" si="55"/>
        <v/>
      </c>
      <c r="BM41" s="388">
        <f>IF($AW41&lt;&gt;BM$3,COUNTIF($AW$8:$AW41,"&lt;&gt;"&amp;BM$3),0)</f>
        <v>0</v>
      </c>
      <c r="BN41" s="416" t="str">
        <f t="shared" si="56"/>
        <v/>
      </c>
      <c r="BO41" s="388">
        <f>IF($AW41=BO$3,COUNTIF($AW$8:$AW41,BO$3),0)</f>
        <v>0</v>
      </c>
      <c r="BP41" s="416" t="str">
        <f t="shared" si="57"/>
        <v/>
      </c>
      <c r="BQ41" s="381"/>
      <c r="BR41" s="381"/>
    </row>
    <row r="42" spans="1:70" ht="15" customHeight="1" thickBot="1">
      <c r="A42" s="992" t="s">
        <v>766</v>
      </c>
      <c r="B42" s="1585" t="s">
        <v>629</v>
      </c>
      <c r="C42" s="1586"/>
      <c r="D42" s="1584" t="str">
        <f>IF(W42,T42,"")</f>
        <v/>
      </c>
      <c r="E42" s="2122"/>
      <c r="F42" s="2399"/>
      <c r="G42" s="2399"/>
      <c r="H42" s="2400"/>
      <c r="I42" s="868" t="str">
        <f t="shared" si="38"/>
        <v/>
      </c>
      <c r="J42" s="858" t="str">
        <f t="shared" si="39"/>
        <v/>
      </c>
      <c r="K42" s="1095" t="s">
        <v>1013</v>
      </c>
      <c r="L42" s="895" t="str">
        <f t="shared" si="47"/>
        <v/>
      </c>
      <c r="M42" s="896">
        <f>IF(OR(AND(J42&lt;&gt;"○",J42&lt;&gt;""),AI42=4),"×",IF(J42="",0,AJ42/$AM$2))</f>
        <v>0</v>
      </c>
      <c r="N42" s="1005" t="str">
        <f t="shared" si="45"/>
        <v>×</v>
      </c>
      <c r="O42" s="808" t="str">
        <f t="shared" si="46"/>
        <v>-</v>
      </c>
      <c r="P42" s="230"/>
      <c r="Q42" s="531" t="b">
        <f>【様式１】総括表・個票!AI268</f>
        <v>0</v>
      </c>
      <c r="R42" s="535" t="s">
        <v>707</v>
      </c>
      <c r="S42" s="529" t="b">
        <f>AND(J42="○",O89&gt;=0)</f>
        <v>0</v>
      </c>
      <c r="T42" s="529" t="str">
        <f>$BN$6</f>
        <v>全職種</v>
      </c>
      <c r="U42" s="417">
        <f>IFERROR(VLOOKUP($F42,$AU$8:$AX$107,4,FALSE),0)</f>
        <v>0</v>
      </c>
      <c r="V42" s="529">
        <v>2</v>
      </c>
      <c r="W42" s="529" t="b">
        <f>Q42</f>
        <v>0</v>
      </c>
      <c r="X42" s="520" t="b">
        <f t="shared" ca="1" si="41"/>
        <v>0</v>
      </c>
      <c r="Y42" s="500" t="b">
        <f>COUNTIF($AC$15:AC41,AC42)+COUNTIF(AC43:$AC$69,AC42)-IF(AND(ISNUMBER(Z42),Z42=AC42),1,0)=0</f>
        <v>0</v>
      </c>
      <c r="Z42" s="539" t="s">
        <v>801</v>
      </c>
      <c r="AA42" s="539" t="s">
        <v>801</v>
      </c>
      <c r="AB42" s="539" t="s">
        <v>801</v>
      </c>
      <c r="AC42" s="536">
        <f t="shared" si="42"/>
        <v>0</v>
      </c>
      <c r="AD42" s="418" t="b">
        <f t="shared" si="20"/>
        <v>0</v>
      </c>
      <c r="AE42" s="392" t="b">
        <f t="shared" si="21"/>
        <v>0</v>
      </c>
      <c r="AF42" s="529" t="s">
        <v>801</v>
      </c>
      <c r="AG42" s="529" t="s">
        <v>801</v>
      </c>
      <c r="AH42" s="529">
        <v>2</v>
      </c>
      <c r="AI42" s="418">
        <f t="shared" si="43"/>
        <v>2</v>
      </c>
      <c r="AJ42" s="420">
        <f t="shared" si="44"/>
        <v>0</v>
      </c>
      <c r="AM42" s="386"/>
      <c r="AP42" s="240"/>
      <c r="AQ42" s="240"/>
      <c r="AR42" s="240"/>
      <c r="AS42" s="234"/>
      <c r="AT42" s="388">
        <f t="shared" si="48"/>
        <v>35</v>
      </c>
      <c r="AU42" s="1081" t="str">
        <f>AT42&amp;" "&amp;IF(AW42&lt;&gt;"-",【様式2】職員名簿!B74&amp;"/"&amp;AV42&amp;"/"&amp;AW42,"")</f>
        <v xml:space="preserve">35 </v>
      </c>
      <c r="AV42" s="1081">
        <f>【様式2】職員名簿!E74</f>
        <v>0</v>
      </c>
      <c r="AW42" s="1081" t="str">
        <f>IF(【様式2】職員名簿!J74="エラー","-",IF(AND(【様式2】職員名簿!C74=$AW$3,【様式2】職員名簿!J74=$AW$4),$AW$3,【様式2】職員名簿!J74))</f>
        <v>-</v>
      </c>
      <c r="AX42" s="392">
        <f>IF($AV42="常勤",$AM$2,IF($AV42="非常勤",【様式2】職員名簿!G74,0))</f>
        <v>0</v>
      </c>
      <c r="AY42" s="415">
        <f>IF($AW42=AY$3,COUNTIF($AW$8:$AW42,AY$3),0)</f>
        <v>0</v>
      </c>
      <c r="AZ42" s="416" t="str">
        <f t="shared" si="49"/>
        <v/>
      </c>
      <c r="BA42" s="388">
        <f>IF(OR($AW42=BA$3,$AW42=BA$4),COUNTIF($AW$8:$AW42,BA$3)+COUNTIF($AW$8:$AW42,BA$4),0)</f>
        <v>0</v>
      </c>
      <c r="BB42" s="416" t="str">
        <f t="shared" si="50"/>
        <v/>
      </c>
      <c r="BC42" s="418">
        <f>IF($AW42=BC$3,COUNTIF($AW$8:$AW42,BC$3),0)</f>
        <v>0</v>
      </c>
      <c r="BD42" s="416" t="str">
        <f t="shared" si="51"/>
        <v/>
      </c>
      <c r="BE42" s="388">
        <f>IF(OR($AW42=BE$3,$AW42=BE$4),COUNTIF($AW$8:$AW42,BE$3)+COUNTIF($AW$8:$AW42,BE$4),0)</f>
        <v>0</v>
      </c>
      <c r="BF42" s="416" t="str">
        <f t="shared" si="52"/>
        <v/>
      </c>
      <c r="BG42" s="388">
        <f>IF($AW42=BG$4,COUNTIFS($AV$8:$AV42,BG$3,$AW$8:$AW42,BG$4),0)</f>
        <v>0</v>
      </c>
      <c r="BH42" s="416" t="str">
        <f t="shared" si="53"/>
        <v/>
      </c>
      <c r="BI42" s="388">
        <f>IF($AW42=BI$3,COUNTIF($AW$8:$AW42,BI$3),0)</f>
        <v>0</v>
      </c>
      <c r="BJ42" s="416" t="str">
        <f t="shared" si="54"/>
        <v/>
      </c>
      <c r="BK42" s="388">
        <f>IF($AW42=BK$3,COUNTIF($AW$8:$AW42,BK$3),0)</f>
        <v>0</v>
      </c>
      <c r="BL42" s="416" t="str">
        <f t="shared" si="55"/>
        <v/>
      </c>
      <c r="BM42" s="388">
        <f>IF($AW42&lt;&gt;BM$3,COUNTIF($AW$8:$AW42,"&lt;&gt;"&amp;BM$3),0)</f>
        <v>0</v>
      </c>
      <c r="BN42" s="416" t="str">
        <f t="shared" si="56"/>
        <v/>
      </c>
      <c r="BO42" s="388">
        <f>IF($AW42=BO$3,COUNTIF($AW$8:$AW42,BO$3),0)</f>
        <v>0</v>
      </c>
      <c r="BP42" s="416" t="str">
        <f t="shared" si="57"/>
        <v/>
      </c>
      <c r="BQ42" s="381"/>
      <c r="BR42" s="381"/>
    </row>
    <row r="43" spans="1:70" ht="15" customHeight="1">
      <c r="A43" s="2259" t="s">
        <v>131</v>
      </c>
      <c r="B43" s="2260"/>
      <c r="C43" s="2261"/>
      <c r="D43" s="2290" t="s">
        <v>976</v>
      </c>
      <c r="E43" s="2291"/>
      <c r="F43" s="2291"/>
      <c r="G43" s="2291"/>
      <c r="H43" s="2291"/>
      <c r="I43" s="2291"/>
      <c r="J43" s="2291"/>
      <c r="K43" s="2291"/>
      <c r="L43" s="2291"/>
      <c r="M43" s="2292"/>
      <c r="N43" s="2296" t="s">
        <v>822</v>
      </c>
      <c r="O43" s="2364"/>
      <c r="P43" s="230"/>
      <c r="Q43" s="510"/>
      <c r="R43" s="510"/>
      <c r="S43" s="915"/>
      <c r="T43" s="538"/>
      <c r="U43" s="541"/>
      <c r="V43" s="538"/>
      <c r="W43" s="538"/>
      <c r="X43" s="523"/>
      <c r="Y43" s="430"/>
      <c r="Z43" s="538"/>
      <c r="AA43" s="538"/>
      <c r="AB43" s="538"/>
      <c r="AC43" s="537"/>
      <c r="AD43" s="523"/>
      <c r="AE43" s="430"/>
      <c r="AF43" s="538"/>
      <c r="AG43" s="538"/>
      <c r="AH43" s="553"/>
      <c r="AI43" s="523"/>
      <c r="AJ43" s="502"/>
      <c r="AM43" s="386"/>
      <c r="AP43" s="240"/>
      <c r="AQ43" s="234"/>
      <c r="AR43" s="234"/>
      <c r="AS43" s="234"/>
      <c r="AT43" s="388">
        <f t="shared" si="48"/>
        <v>36</v>
      </c>
      <c r="AU43" s="1081" t="str">
        <f>AT43&amp;" "&amp;IF(AW43&lt;&gt;"-",【様式2】職員名簿!B75&amp;"/"&amp;AV43&amp;"/"&amp;AW43,"")</f>
        <v xml:space="preserve">36 </v>
      </c>
      <c r="AV43" s="1081">
        <f>【様式2】職員名簿!E75</f>
        <v>0</v>
      </c>
      <c r="AW43" s="1081" t="str">
        <f>IF(【様式2】職員名簿!J75="エラー","-",IF(AND(【様式2】職員名簿!C75=$AW$3,【様式2】職員名簿!J75=$AW$4),$AW$3,【様式2】職員名簿!J75))</f>
        <v>-</v>
      </c>
      <c r="AX43" s="392">
        <f>IF($AV43="常勤",$AM$2,IF($AV43="非常勤",【様式2】職員名簿!G75,0))</f>
        <v>0</v>
      </c>
      <c r="AY43" s="415">
        <f>IF($AW43=AY$3,COUNTIF($AW$8:$AW43,AY$3),0)</f>
        <v>0</v>
      </c>
      <c r="AZ43" s="416" t="str">
        <f t="shared" si="49"/>
        <v/>
      </c>
      <c r="BA43" s="388">
        <f>IF(OR($AW43=BA$3,$AW43=BA$4),COUNTIF($AW$8:$AW43,BA$3)+COUNTIF($AW$8:$AW43,BA$4),0)</f>
        <v>0</v>
      </c>
      <c r="BB43" s="416" t="str">
        <f t="shared" si="50"/>
        <v/>
      </c>
      <c r="BC43" s="418">
        <f>IF($AW43=BC$3,COUNTIF($AW$8:$AW43,BC$3),0)</f>
        <v>0</v>
      </c>
      <c r="BD43" s="416" t="str">
        <f t="shared" si="51"/>
        <v/>
      </c>
      <c r="BE43" s="388">
        <f>IF(OR($AW43=BE$3,$AW43=BE$4),COUNTIF($AW$8:$AW43,BE$3)+COUNTIF($AW$8:$AW43,BE$4),0)</f>
        <v>0</v>
      </c>
      <c r="BF43" s="416" t="str">
        <f t="shared" si="52"/>
        <v/>
      </c>
      <c r="BG43" s="388">
        <f>IF($AW43=BG$4,COUNTIFS($AV$8:$AV43,BG$3,$AW$8:$AW43,BG$4),0)</f>
        <v>0</v>
      </c>
      <c r="BH43" s="416" t="str">
        <f t="shared" si="53"/>
        <v/>
      </c>
      <c r="BI43" s="388">
        <f>IF($AW43=BI$3,COUNTIF($AW$8:$AW43,BI$3),0)</f>
        <v>0</v>
      </c>
      <c r="BJ43" s="416" t="str">
        <f t="shared" si="54"/>
        <v/>
      </c>
      <c r="BK43" s="388">
        <f>IF($AW43=BK$3,COUNTIF($AW$8:$AW43,BK$3),0)</f>
        <v>0</v>
      </c>
      <c r="BL43" s="416" t="str">
        <f t="shared" si="55"/>
        <v/>
      </c>
      <c r="BM43" s="388">
        <f>IF($AW43&lt;&gt;BM$3,COUNTIF($AW$8:$AW43,"&lt;&gt;"&amp;BM$3),0)</f>
        <v>0</v>
      </c>
      <c r="BN43" s="416" t="str">
        <f t="shared" si="56"/>
        <v/>
      </c>
      <c r="BO43" s="388">
        <f>IF($AW43=BO$3,COUNTIF($AW$8:$AW43,BO$3),0)</f>
        <v>0</v>
      </c>
      <c r="BP43" s="416" t="str">
        <f t="shared" si="57"/>
        <v/>
      </c>
      <c r="BQ43" s="381"/>
      <c r="BR43" s="381"/>
    </row>
    <row r="44" spans="1:70" ht="15" customHeight="1">
      <c r="A44" s="2262" t="s">
        <v>977</v>
      </c>
      <c r="B44" s="2263"/>
      <c r="C44" s="2264"/>
      <c r="D44" s="2157" t="s">
        <v>703</v>
      </c>
      <c r="E44" s="2158"/>
      <c r="F44" s="2301" t="s">
        <v>958</v>
      </c>
      <c r="G44" s="2302"/>
      <c r="H44" s="2302"/>
      <c r="I44" s="2302"/>
      <c r="J44" s="2302"/>
      <c r="K44" s="2302"/>
      <c r="L44" s="2299" t="s">
        <v>756</v>
      </c>
      <c r="M44" s="2300"/>
      <c r="N44" s="2365"/>
      <c r="O44" s="2366"/>
      <c r="P44" s="230"/>
      <c r="Q44" s="510"/>
      <c r="R44" s="510"/>
      <c r="S44" s="914"/>
      <c r="T44" s="538"/>
      <c r="U44" s="541"/>
      <c r="V44" s="538"/>
      <c r="W44" s="538"/>
      <c r="X44" s="523"/>
      <c r="Y44" s="430"/>
      <c r="Z44" s="538"/>
      <c r="AA44" s="538"/>
      <c r="AB44" s="538"/>
      <c r="AC44" s="537"/>
      <c r="AD44" s="523"/>
      <c r="AE44" s="430"/>
      <c r="AF44" s="538"/>
      <c r="AG44" s="538"/>
      <c r="AH44" s="553"/>
      <c r="AI44" s="523"/>
      <c r="AJ44" s="502"/>
      <c r="AM44" s="386"/>
      <c r="AP44" s="234"/>
      <c r="AQ44" s="234"/>
      <c r="AR44" s="234"/>
      <c r="AS44" s="234"/>
      <c r="AT44" s="388">
        <f t="shared" si="48"/>
        <v>37</v>
      </c>
      <c r="AU44" s="1081" t="str">
        <f>AT44&amp;" "&amp;IF(AW44&lt;&gt;"-",【様式2】職員名簿!B76&amp;"/"&amp;AV44&amp;"/"&amp;AW44,"")</f>
        <v xml:space="preserve">37 </v>
      </c>
      <c r="AV44" s="1081">
        <f>【様式2】職員名簿!E76</f>
        <v>0</v>
      </c>
      <c r="AW44" s="1081" t="str">
        <f>IF(【様式2】職員名簿!J76="エラー","-",IF(AND(【様式2】職員名簿!C76=$AW$3,【様式2】職員名簿!J76=$AW$4),$AW$3,【様式2】職員名簿!J76))</f>
        <v>-</v>
      </c>
      <c r="AX44" s="392">
        <f>IF($AV44="常勤",$AM$2,IF($AV44="非常勤",【様式2】職員名簿!G76,0))</f>
        <v>0</v>
      </c>
      <c r="AY44" s="415">
        <f>IF($AW44=AY$3,COUNTIF($AW$8:$AW44,AY$3),0)</f>
        <v>0</v>
      </c>
      <c r="AZ44" s="416" t="str">
        <f t="shared" si="49"/>
        <v/>
      </c>
      <c r="BA44" s="388">
        <f>IF(OR($AW44=BA$3,$AW44=BA$4),COUNTIF($AW$8:$AW44,BA$3)+COUNTIF($AW$8:$AW44,BA$4),0)</f>
        <v>0</v>
      </c>
      <c r="BB44" s="416" t="str">
        <f t="shared" si="50"/>
        <v/>
      </c>
      <c r="BC44" s="418">
        <f>IF($AW44=BC$3,COUNTIF($AW$8:$AW44,BC$3),0)</f>
        <v>0</v>
      </c>
      <c r="BD44" s="416" t="str">
        <f t="shared" si="51"/>
        <v/>
      </c>
      <c r="BE44" s="388">
        <f>IF(OR($AW44=BE$3,$AW44=BE$4),COUNTIF($AW$8:$AW44,BE$3)+COUNTIF($AW$8:$AW44,BE$4),0)</f>
        <v>0</v>
      </c>
      <c r="BF44" s="416" t="str">
        <f t="shared" si="52"/>
        <v/>
      </c>
      <c r="BG44" s="388">
        <f>IF($AW44=BG$4,COUNTIFS($AV$8:$AV44,BG$3,$AW$8:$AW44,BG$4),0)</f>
        <v>0</v>
      </c>
      <c r="BH44" s="416" t="str">
        <f t="shared" si="53"/>
        <v/>
      </c>
      <c r="BI44" s="388">
        <f>IF($AW44=BI$3,COUNTIF($AW$8:$AW44,BI$3),0)</f>
        <v>0</v>
      </c>
      <c r="BJ44" s="416" t="str">
        <f t="shared" si="54"/>
        <v/>
      </c>
      <c r="BK44" s="388">
        <f>IF($AW44=BK$3,COUNTIF($AW$8:$AW44,BK$3),0)</f>
        <v>0</v>
      </c>
      <c r="BL44" s="416" t="str">
        <f t="shared" si="55"/>
        <v/>
      </c>
      <c r="BM44" s="388">
        <f>IF($AW44&lt;&gt;BM$3,COUNTIF($AW$8:$AW44,"&lt;&gt;"&amp;BM$3),0)</f>
        <v>0</v>
      </c>
      <c r="BN44" s="416" t="str">
        <f t="shared" si="56"/>
        <v/>
      </c>
      <c r="BO44" s="388">
        <f>IF($AW44=BO$3,COUNTIF($AW$8:$AW44,BO$3),0)</f>
        <v>0</v>
      </c>
      <c r="BP44" s="416" t="str">
        <f t="shared" si="57"/>
        <v/>
      </c>
      <c r="BQ44" s="381"/>
      <c r="BR44" s="381"/>
    </row>
    <row r="45" spans="1:70" ht="15" customHeight="1" thickBot="1">
      <c r="A45" s="2265"/>
      <c r="B45" s="2266"/>
      <c r="C45" s="2131"/>
      <c r="D45" s="2159"/>
      <c r="E45" s="2160"/>
      <c r="F45" s="2373" t="s">
        <v>799</v>
      </c>
      <c r="G45" s="2373"/>
      <c r="H45" s="2373"/>
      <c r="I45" s="334" t="s">
        <v>959</v>
      </c>
      <c r="J45" s="995" t="s">
        <v>960</v>
      </c>
      <c r="K45" s="871" t="s">
        <v>961</v>
      </c>
      <c r="L45" s="2369"/>
      <c r="M45" s="2370"/>
      <c r="N45" s="2367"/>
      <c r="O45" s="2368"/>
      <c r="P45" s="230"/>
      <c r="Q45" s="510"/>
      <c r="R45" s="510"/>
      <c r="S45" s="914"/>
      <c r="T45" s="538"/>
      <c r="U45" s="541"/>
      <c r="V45" s="538"/>
      <c r="W45" s="538"/>
      <c r="X45" s="523"/>
      <c r="Y45" s="430"/>
      <c r="Z45" s="538"/>
      <c r="AA45" s="538"/>
      <c r="AB45" s="538"/>
      <c r="AC45" s="537"/>
      <c r="AD45" s="523"/>
      <c r="AE45" s="430"/>
      <c r="AF45" s="538"/>
      <c r="AG45" s="538"/>
      <c r="AH45" s="553"/>
      <c r="AI45" s="523"/>
      <c r="AJ45" s="502"/>
      <c r="AM45" s="386"/>
      <c r="AP45" s="234"/>
      <c r="AQ45" s="234"/>
      <c r="AR45" s="234"/>
      <c r="AS45" s="234"/>
      <c r="AT45" s="388">
        <f t="shared" si="48"/>
        <v>38</v>
      </c>
      <c r="AU45" s="1081" t="str">
        <f>AT45&amp;" "&amp;IF(AW45&lt;&gt;"-",【様式2】職員名簿!B77&amp;"/"&amp;AV45&amp;"/"&amp;AW45,"")</f>
        <v xml:space="preserve">38 </v>
      </c>
      <c r="AV45" s="1081">
        <f>【様式2】職員名簿!E77</f>
        <v>0</v>
      </c>
      <c r="AW45" s="1081" t="str">
        <f>IF(【様式2】職員名簿!J77="エラー","-",IF(AND(【様式2】職員名簿!C77=$AW$3,【様式2】職員名簿!J77=$AW$4),$AW$3,【様式2】職員名簿!J77))</f>
        <v>-</v>
      </c>
      <c r="AX45" s="392">
        <f>IF($AV45="常勤",$AM$2,IF($AV45="非常勤",【様式2】職員名簿!G77,0))</f>
        <v>0</v>
      </c>
      <c r="AY45" s="415">
        <f>IF($AW45=AY$3,COUNTIF($AW$8:$AW45,AY$3),0)</f>
        <v>0</v>
      </c>
      <c r="AZ45" s="416" t="str">
        <f t="shared" si="49"/>
        <v/>
      </c>
      <c r="BA45" s="388">
        <f>IF(OR($AW45=BA$3,$AW45=BA$4),COUNTIF($AW$8:$AW45,BA$3)+COUNTIF($AW$8:$AW45,BA$4),0)</f>
        <v>0</v>
      </c>
      <c r="BB45" s="416" t="str">
        <f t="shared" si="50"/>
        <v/>
      </c>
      <c r="BC45" s="418">
        <f>IF($AW45=BC$3,COUNTIF($AW$8:$AW45,BC$3),0)</f>
        <v>0</v>
      </c>
      <c r="BD45" s="416" t="str">
        <f t="shared" si="51"/>
        <v/>
      </c>
      <c r="BE45" s="388">
        <f>IF(OR($AW45=BE$3,$AW45=BE$4),COUNTIF($AW$8:$AW45,BE$3)+COUNTIF($AW$8:$AW45,BE$4),0)</f>
        <v>0</v>
      </c>
      <c r="BF45" s="416" t="str">
        <f t="shared" si="52"/>
        <v/>
      </c>
      <c r="BG45" s="388">
        <f>IF($AW45=BG$4,COUNTIFS($AV$8:$AV45,BG$3,$AW$8:$AW45,BG$4),0)</f>
        <v>0</v>
      </c>
      <c r="BH45" s="416" t="str">
        <f t="shared" si="53"/>
        <v/>
      </c>
      <c r="BI45" s="388">
        <f>IF($AW45=BI$3,COUNTIF($AW$8:$AW45,BI$3),0)</f>
        <v>0</v>
      </c>
      <c r="BJ45" s="416" t="str">
        <f t="shared" si="54"/>
        <v/>
      </c>
      <c r="BK45" s="388">
        <f>IF($AW45=BK$3,COUNTIF($AW$8:$AW45,BK$3),0)</f>
        <v>0</v>
      </c>
      <c r="BL45" s="416" t="str">
        <f t="shared" si="55"/>
        <v/>
      </c>
      <c r="BM45" s="388">
        <f>IF($AW45&lt;&gt;BM$3,COUNTIF($AW$8:$AW45,"&lt;&gt;"&amp;BM$3),0)</f>
        <v>0</v>
      </c>
      <c r="BN45" s="416" t="str">
        <f t="shared" si="56"/>
        <v/>
      </c>
      <c r="BO45" s="388">
        <f>IF($AW45=BO$3,COUNTIF($AW$8:$AW45,BO$3),0)</f>
        <v>0</v>
      </c>
      <c r="BP45" s="416" t="str">
        <f t="shared" si="57"/>
        <v/>
      </c>
      <c r="BQ45" s="381"/>
      <c r="BR45" s="381"/>
    </row>
    <row r="46" spans="1:70" ht="15" customHeight="1">
      <c r="A46" s="2236" t="s">
        <v>893</v>
      </c>
      <c r="B46" s="2237"/>
      <c r="C46" s="2238"/>
      <c r="D46" s="2255" t="str">
        <f>T46</f>
        <v>教諭</v>
      </c>
      <c r="E46" s="2256"/>
      <c r="F46" s="2257"/>
      <c r="G46" s="2258"/>
      <c r="H46" s="2258"/>
      <c r="I46" s="872" t="str">
        <f>IF(OR(NOT(W46),U46=0),"",U46)</f>
        <v/>
      </c>
      <c r="J46" s="873" t="str">
        <f t="shared" ref="J46:J68" si="58">IF(OR(F46=0,F46=""),"",IF(W46,IF(X46,IF(OR(Y46,V46=3),IF(AD46,IF(OR(AE46,V46=2,V46=3),"○","要常勤"),"時間無"),"重複"),"名簿無"),"対象外"))</f>
        <v/>
      </c>
      <c r="K46" s="1074"/>
      <c r="L46" s="897" t="str">
        <f t="shared" ref="L46:L68" si="59">IF(AI46=1,"調整①→",IF(AI46=5,"調整②→",IF(AI46=2,"",IF(AI46=3,"全計上→","エラー"))))</f>
        <v/>
      </c>
      <c r="M46" s="616">
        <f t="shared" ref="M46:M68" si="60">IF(OR(AND(J46&lt;&gt;"○",J46&lt;&gt;""),AI46=4),"×",IF(J46="",0,AJ46/$AM$2))</f>
        <v>0</v>
      </c>
      <c r="N46" s="2374">
        <f>SUM(M46:M60)</f>
        <v>0</v>
      </c>
      <c r="O46" s="2375"/>
      <c r="P46" s="230"/>
      <c r="Q46" s="381"/>
      <c r="R46" s="381"/>
      <c r="S46" s="914"/>
      <c r="T46" s="539" t="str">
        <f t="shared" ref="T46:T55" si="61">$BB$6</f>
        <v>教諭</v>
      </c>
      <c r="U46" s="515">
        <f t="shared" ref="U46:U67" si="62">IFERROR(VLOOKUP($F46,$AU$8:$AX$107,4,FALSE),0)</f>
        <v>0</v>
      </c>
      <c r="V46" s="539">
        <v>2</v>
      </c>
      <c r="W46" s="539" t="b">
        <f t="shared" ref="W46:W60" si="63">ISTEXT(F46)</f>
        <v>0</v>
      </c>
      <c r="X46" s="520" t="b">
        <f t="shared" ref="X46:X68" ca="1" si="64">COUNTIF(INDIRECT(T46),F46)&gt;0</f>
        <v>0</v>
      </c>
      <c r="Y46" s="543" t="b">
        <f>COUNTIF($AC$15:AC45,AC46)+COUNTIF(AC47:$AC$69,AC46)-IF(AND(ISNUMBER(Z46),Z46=AC46),1,0)=0</f>
        <v>0</v>
      </c>
      <c r="Z46" s="547" t="s">
        <v>801</v>
      </c>
      <c r="AA46" s="547" t="s">
        <v>801</v>
      </c>
      <c r="AB46" s="547" t="s">
        <v>801</v>
      </c>
      <c r="AC46" s="536">
        <f t="shared" ref="AC46:AC67" si="65">IF(V46=3,0,IFERROR(INDEX($AT$8:$AT$107,MATCH($F46,AU$8:AU$107,0),1),0))</f>
        <v>0</v>
      </c>
      <c r="AD46" s="520" t="b">
        <f t="shared" ref="AD46:AD67" si="66">U46&gt;0</f>
        <v>0</v>
      </c>
      <c r="AE46" s="500" t="b">
        <f t="shared" ref="AE46:AE67" si="67">IFERROR(VLOOKUP($F46,$AU$8:$AX$107,2,FALSE),"")="常勤"</f>
        <v>0</v>
      </c>
      <c r="AF46" s="539" t="str">
        <f t="shared" ref="AF46:AF67" si="68">IFERROR(VLOOKUP($F46,$AU$8:$AX$107,3,FALSE),"")</f>
        <v/>
      </c>
      <c r="AG46" s="547">
        <f t="shared" ref="AG46:AG68" si="69">M46</f>
        <v>0</v>
      </c>
      <c r="AH46" s="529">
        <v>2</v>
      </c>
      <c r="AI46" s="418">
        <f t="shared" ref="AI46:AI68" si="70">IF(AND($W46,$J46="○"),IF($K46="-",IF($U46&lt;IF($AH46=5,$AL$4,$AL$3),$AH46,2),IF($K46=0,IF($U46&lt;IF($AH46=5,$AL$4,$AL$3),IF(OR($AH46=1,$AH46=5),$AH46,3),3),IF(K46&lt;IF($AH46=5,$AL$4,$AL$3),$AH46,IF($K46&gt;$U46,4,2)))),2)</f>
        <v>2</v>
      </c>
      <c r="AJ46" s="420">
        <f t="shared" ref="AJ46:AJ68" si="71">IF(AI46=1,$AL$3,IF(AI46=5,$AL$4,IF(AI46=2,IF(K46="-",U46,K46),IF(AI46=3,U46,"×"))))</f>
        <v>0</v>
      </c>
      <c r="AM46" s="386"/>
      <c r="AP46" s="234"/>
      <c r="AR46" s="234"/>
      <c r="AS46" s="229"/>
      <c r="AT46" s="388">
        <f t="shared" si="48"/>
        <v>39</v>
      </c>
      <c r="AU46" s="1081" t="str">
        <f>AT46&amp;" "&amp;IF(AW46&lt;&gt;"-",【様式2】職員名簿!B78&amp;"/"&amp;AV46&amp;"/"&amp;AW46,"")</f>
        <v xml:space="preserve">39 </v>
      </c>
      <c r="AV46" s="1081">
        <f>【様式2】職員名簿!E78</f>
        <v>0</v>
      </c>
      <c r="AW46" s="1081" t="str">
        <f>IF(【様式2】職員名簿!J78="エラー","-",IF(AND(【様式2】職員名簿!C78=$AW$3,【様式2】職員名簿!J78=$AW$4),$AW$3,【様式2】職員名簿!J78))</f>
        <v>-</v>
      </c>
      <c r="AX46" s="392">
        <f>IF($AV46="常勤",$AM$2,IF($AV46="非常勤",【様式2】職員名簿!G78,0))</f>
        <v>0</v>
      </c>
      <c r="AY46" s="415">
        <f>IF($AW46=AY$3,COUNTIF($AW$8:$AW46,AY$3),0)</f>
        <v>0</v>
      </c>
      <c r="AZ46" s="416" t="str">
        <f t="shared" si="49"/>
        <v/>
      </c>
      <c r="BA46" s="388">
        <f>IF(OR($AW46=BA$3,$AW46=BA$4),COUNTIF($AW$8:$AW46,BA$3)+COUNTIF($AW$8:$AW46,BA$4),0)</f>
        <v>0</v>
      </c>
      <c r="BB46" s="416" t="str">
        <f t="shared" si="50"/>
        <v/>
      </c>
      <c r="BC46" s="418">
        <f>IF($AW46=BC$3,COUNTIF($AW$8:$AW46,BC$3),0)</f>
        <v>0</v>
      </c>
      <c r="BD46" s="416" t="str">
        <f t="shared" si="51"/>
        <v/>
      </c>
      <c r="BE46" s="388">
        <f>IF(OR($AW46=BE$3,$AW46=BE$4),COUNTIF($AW$8:$AW46,BE$3)+COUNTIF($AW$8:$AW46,BE$4),0)</f>
        <v>0</v>
      </c>
      <c r="BF46" s="416" t="str">
        <f t="shared" si="52"/>
        <v/>
      </c>
      <c r="BG46" s="388">
        <f>IF($AW46=BG$4,COUNTIFS($AV$8:$AV46,BG$3,$AW$8:$AW46,BG$4),0)</f>
        <v>0</v>
      </c>
      <c r="BH46" s="416" t="str">
        <f t="shared" si="53"/>
        <v/>
      </c>
      <c r="BI46" s="388">
        <f>IF($AW46=BI$3,COUNTIF($AW$8:$AW46,BI$3),0)</f>
        <v>0</v>
      </c>
      <c r="BJ46" s="416" t="str">
        <f t="shared" si="54"/>
        <v/>
      </c>
      <c r="BK46" s="388">
        <f>IF($AW46=BK$3,COUNTIF($AW$8:$AW46,BK$3),0)</f>
        <v>0</v>
      </c>
      <c r="BL46" s="416" t="str">
        <f t="shared" si="55"/>
        <v/>
      </c>
      <c r="BM46" s="388">
        <f>IF($AW46&lt;&gt;BM$3,COUNTIF($AW$8:$AW46,"&lt;&gt;"&amp;BM$3),0)</f>
        <v>0</v>
      </c>
      <c r="BN46" s="416" t="str">
        <f t="shared" si="56"/>
        <v/>
      </c>
      <c r="BO46" s="388">
        <f>IF($AW46=BO$3,COUNTIF($AW$8:$AW46,BO$3),0)</f>
        <v>0</v>
      </c>
      <c r="BP46" s="416" t="str">
        <f t="shared" si="57"/>
        <v/>
      </c>
      <c r="BQ46" s="381"/>
      <c r="BR46" s="381"/>
    </row>
    <row r="47" spans="1:70" ht="15" customHeight="1">
      <c r="A47" s="1497"/>
      <c r="B47" s="1498"/>
      <c r="C47" s="1499"/>
      <c r="D47" s="2253" t="str">
        <f t="shared" ref="D47:D60" si="72">T47</f>
        <v>教諭</v>
      </c>
      <c r="E47" s="2254"/>
      <c r="F47" s="2251"/>
      <c r="G47" s="2252"/>
      <c r="H47" s="2252"/>
      <c r="I47" s="860" t="str">
        <f t="shared" ref="I47:I68" si="73">IF(OR(NOT(W47),U47=0),"",U47)</f>
        <v/>
      </c>
      <c r="J47" s="852" t="str">
        <f t="shared" si="58"/>
        <v/>
      </c>
      <c r="K47" s="1075"/>
      <c r="L47" s="898" t="str">
        <f t="shared" si="59"/>
        <v/>
      </c>
      <c r="M47" s="617">
        <f t="shared" si="60"/>
        <v>0</v>
      </c>
      <c r="N47" s="2376"/>
      <c r="O47" s="2377"/>
      <c r="P47" s="230"/>
      <c r="Q47" s="381"/>
      <c r="R47" s="381"/>
      <c r="S47" s="914"/>
      <c r="T47" s="539" t="str">
        <f t="shared" si="61"/>
        <v>教諭</v>
      </c>
      <c r="U47" s="515">
        <f t="shared" si="62"/>
        <v>0</v>
      </c>
      <c r="V47" s="539">
        <v>2</v>
      </c>
      <c r="W47" s="539" t="b">
        <f t="shared" si="63"/>
        <v>0</v>
      </c>
      <c r="X47" s="520" t="b">
        <f t="shared" ca="1" si="64"/>
        <v>0</v>
      </c>
      <c r="Y47" s="543" t="b">
        <f>COUNTIF($AC$15:AC46,AC47)+COUNTIF(AC48:$AC$69,AC47)-IF(AND(ISNUMBER(Z47),Z47=AC47),1,0)=0</f>
        <v>0</v>
      </c>
      <c r="Z47" s="547" t="s">
        <v>801</v>
      </c>
      <c r="AA47" s="547" t="s">
        <v>801</v>
      </c>
      <c r="AB47" s="547" t="s">
        <v>801</v>
      </c>
      <c r="AC47" s="536">
        <f t="shared" si="65"/>
        <v>0</v>
      </c>
      <c r="AD47" s="520" t="b">
        <f t="shared" si="66"/>
        <v>0</v>
      </c>
      <c r="AE47" s="500" t="b">
        <f t="shared" si="67"/>
        <v>0</v>
      </c>
      <c r="AF47" s="539" t="str">
        <f t="shared" si="68"/>
        <v/>
      </c>
      <c r="AG47" s="547">
        <f t="shared" si="69"/>
        <v>0</v>
      </c>
      <c r="AH47" s="529">
        <v>2</v>
      </c>
      <c r="AI47" s="418">
        <f t="shared" si="70"/>
        <v>2</v>
      </c>
      <c r="AJ47" s="420">
        <f t="shared" si="71"/>
        <v>0</v>
      </c>
      <c r="AM47" s="386"/>
      <c r="AQ47" s="234"/>
      <c r="AR47" s="234"/>
      <c r="AS47" s="229"/>
      <c r="AT47" s="388">
        <f t="shared" si="48"/>
        <v>40</v>
      </c>
      <c r="AU47" s="1081" t="str">
        <f>AT47&amp;" "&amp;IF(AW47&lt;&gt;"-",【様式2】職員名簿!B79&amp;"/"&amp;AV47&amp;"/"&amp;AW47,"")</f>
        <v xml:space="preserve">40 </v>
      </c>
      <c r="AV47" s="1081">
        <f>【様式2】職員名簿!E79</f>
        <v>0</v>
      </c>
      <c r="AW47" s="1081" t="str">
        <f>IF(【様式2】職員名簿!J79="エラー","-",IF(AND(【様式2】職員名簿!C79=$AW$3,【様式2】職員名簿!J79=$AW$4),$AW$3,【様式2】職員名簿!J79))</f>
        <v>-</v>
      </c>
      <c r="AX47" s="392">
        <f>IF($AV47="常勤",$AM$2,IF($AV47="非常勤",【様式2】職員名簿!G79,0))</f>
        <v>0</v>
      </c>
      <c r="AY47" s="415">
        <f>IF($AW47=AY$3,COUNTIF($AW$8:$AW47,AY$3),0)</f>
        <v>0</v>
      </c>
      <c r="AZ47" s="416" t="str">
        <f t="shared" si="49"/>
        <v/>
      </c>
      <c r="BA47" s="388">
        <f>IF(OR($AW47=BA$3,$AW47=BA$4),COUNTIF($AW$8:$AW47,BA$3)+COUNTIF($AW$8:$AW47,BA$4),0)</f>
        <v>0</v>
      </c>
      <c r="BB47" s="416" t="str">
        <f t="shared" si="50"/>
        <v/>
      </c>
      <c r="BC47" s="418">
        <f>IF($AW47=BC$3,COUNTIF($AW$8:$AW47,BC$3),0)</f>
        <v>0</v>
      </c>
      <c r="BD47" s="416" t="str">
        <f t="shared" si="51"/>
        <v/>
      </c>
      <c r="BE47" s="388">
        <f>IF(OR($AW47=BE$3,$AW47=BE$4),COUNTIF($AW$8:$AW47,BE$3)+COUNTIF($AW$8:$AW47,BE$4),0)</f>
        <v>0</v>
      </c>
      <c r="BF47" s="416" t="str">
        <f t="shared" si="52"/>
        <v/>
      </c>
      <c r="BG47" s="388">
        <f>IF($AW47=BG$4,COUNTIFS($AV$8:$AV47,BG$3,$AW$8:$AW47,BG$4),0)</f>
        <v>0</v>
      </c>
      <c r="BH47" s="416" t="str">
        <f t="shared" si="53"/>
        <v/>
      </c>
      <c r="BI47" s="388">
        <f>IF($AW47=BI$3,COUNTIF($AW$8:$AW47,BI$3),0)</f>
        <v>0</v>
      </c>
      <c r="BJ47" s="416" t="str">
        <f t="shared" si="54"/>
        <v/>
      </c>
      <c r="BK47" s="388">
        <f>IF($AW47=BK$3,COUNTIF($AW$8:$AW47,BK$3),0)</f>
        <v>0</v>
      </c>
      <c r="BL47" s="416" t="str">
        <f t="shared" si="55"/>
        <v/>
      </c>
      <c r="BM47" s="388">
        <f>IF($AW47&lt;&gt;BM$3,COUNTIF($AW$8:$AW47,"&lt;&gt;"&amp;BM$3),0)</f>
        <v>0</v>
      </c>
      <c r="BN47" s="416" t="str">
        <f t="shared" si="56"/>
        <v/>
      </c>
      <c r="BO47" s="388">
        <f>IF($AW47=BO$3,COUNTIF($AW$8:$AW47,BO$3),0)</f>
        <v>0</v>
      </c>
      <c r="BP47" s="416" t="str">
        <f t="shared" si="57"/>
        <v/>
      </c>
      <c r="BQ47" s="381"/>
      <c r="BR47" s="381"/>
    </row>
    <row r="48" spans="1:70" ht="15" customHeight="1">
      <c r="A48" s="1497"/>
      <c r="B48" s="1498"/>
      <c r="C48" s="1499"/>
      <c r="D48" s="2253" t="str">
        <f t="shared" si="72"/>
        <v>教諭</v>
      </c>
      <c r="E48" s="2254"/>
      <c r="F48" s="2251"/>
      <c r="G48" s="2252"/>
      <c r="H48" s="2252"/>
      <c r="I48" s="860" t="str">
        <f t="shared" si="73"/>
        <v/>
      </c>
      <c r="J48" s="852" t="str">
        <f t="shared" si="58"/>
        <v/>
      </c>
      <c r="K48" s="1075"/>
      <c r="L48" s="898" t="str">
        <f t="shared" si="59"/>
        <v/>
      </c>
      <c r="M48" s="617">
        <f t="shared" si="60"/>
        <v>0</v>
      </c>
      <c r="N48" s="2376"/>
      <c r="O48" s="2377"/>
      <c r="P48" s="230"/>
      <c r="Q48" s="381"/>
      <c r="R48" s="381"/>
      <c r="S48" s="914"/>
      <c r="T48" s="539" t="str">
        <f t="shared" si="61"/>
        <v>教諭</v>
      </c>
      <c r="U48" s="515">
        <f t="shared" si="62"/>
        <v>0</v>
      </c>
      <c r="V48" s="539">
        <v>2</v>
      </c>
      <c r="W48" s="539" t="b">
        <f t="shared" si="63"/>
        <v>0</v>
      </c>
      <c r="X48" s="520" t="b">
        <f t="shared" ca="1" si="64"/>
        <v>0</v>
      </c>
      <c r="Y48" s="543" t="b">
        <f>COUNTIF($AC$15:AC47,AC48)+COUNTIF(AC49:$AC$69,AC48)-IF(AND(ISNUMBER(Z48),Z48=AC48),1,0)=0</f>
        <v>0</v>
      </c>
      <c r="Z48" s="547" t="s">
        <v>801</v>
      </c>
      <c r="AA48" s="547" t="s">
        <v>801</v>
      </c>
      <c r="AB48" s="547" t="s">
        <v>801</v>
      </c>
      <c r="AC48" s="536">
        <f t="shared" si="65"/>
        <v>0</v>
      </c>
      <c r="AD48" s="520" t="b">
        <f t="shared" si="66"/>
        <v>0</v>
      </c>
      <c r="AE48" s="500" t="b">
        <f t="shared" si="67"/>
        <v>0</v>
      </c>
      <c r="AF48" s="539" t="str">
        <f t="shared" si="68"/>
        <v/>
      </c>
      <c r="AG48" s="547">
        <f t="shared" si="69"/>
        <v>0</v>
      </c>
      <c r="AH48" s="529">
        <v>2</v>
      </c>
      <c r="AI48" s="418">
        <f t="shared" si="70"/>
        <v>2</v>
      </c>
      <c r="AJ48" s="420">
        <f t="shared" si="71"/>
        <v>0</v>
      </c>
      <c r="AM48" s="386"/>
      <c r="AP48" s="234"/>
      <c r="AQ48" s="234"/>
      <c r="AR48" s="234"/>
      <c r="AS48" s="229"/>
      <c r="AT48" s="388">
        <f t="shared" si="48"/>
        <v>41</v>
      </c>
      <c r="AU48" s="1081" t="str">
        <f>AT48&amp;" "&amp;IF(AW48&lt;&gt;"-",【様式2】職員名簿!B80&amp;"/"&amp;AV48&amp;"/"&amp;AW48,"")</f>
        <v xml:space="preserve">41 </v>
      </c>
      <c r="AV48" s="1081">
        <f>【様式2】職員名簿!E80</f>
        <v>0</v>
      </c>
      <c r="AW48" s="1081" t="str">
        <f>IF(【様式2】職員名簿!J80="エラー","-",IF(AND(【様式2】職員名簿!C80=$AW$3,【様式2】職員名簿!J80=$AW$4),$AW$3,【様式2】職員名簿!J80))</f>
        <v>-</v>
      </c>
      <c r="AX48" s="392">
        <f>IF($AV48="常勤",$AM$2,IF($AV48="非常勤",【様式2】職員名簿!G80,0))</f>
        <v>0</v>
      </c>
      <c r="AY48" s="415">
        <f>IF($AW48=AY$3,COUNTIF($AW$8:$AW48,AY$3),0)</f>
        <v>0</v>
      </c>
      <c r="AZ48" s="416" t="str">
        <f t="shared" si="49"/>
        <v/>
      </c>
      <c r="BA48" s="388">
        <f>IF(OR($AW48=BA$3,$AW48=BA$4),COUNTIF($AW$8:$AW48,BA$3)+COUNTIF($AW$8:$AW48,BA$4),0)</f>
        <v>0</v>
      </c>
      <c r="BB48" s="416" t="str">
        <f t="shared" si="50"/>
        <v/>
      </c>
      <c r="BC48" s="418">
        <f>IF($AW48=BC$3,COUNTIF($AW$8:$AW48,BC$3),0)</f>
        <v>0</v>
      </c>
      <c r="BD48" s="416" t="str">
        <f t="shared" si="51"/>
        <v/>
      </c>
      <c r="BE48" s="388">
        <f>IF(OR($AW48=BE$3,$AW48=BE$4),COUNTIF($AW$8:$AW48,BE$3)+COUNTIF($AW$8:$AW48,BE$4),0)</f>
        <v>0</v>
      </c>
      <c r="BF48" s="416" t="str">
        <f t="shared" si="52"/>
        <v/>
      </c>
      <c r="BG48" s="388">
        <f>IF($AW48=BG$4,COUNTIFS($AV$8:$AV48,BG$3,$AW$8:$AW48,BG$4),0)</f>
        <v>0</v>
      </c>
      <c r="BH48" s="416" t="str">
        <f t="shared" si="53"/>
        <v/>
      </c>
      <c r="BI48" s="388">
        <f>IF($AW48=BI$3,COUNTIF($AW$8:$AW48,BI$3),0)</f>
        <v>0</v>
      </c>
      <c r="BJ48" s="416" t="str">
        <f t="shared" si="54"/>
        <v/>
      </c>
      <c r="BK48" s="388">
        <f>IF($AW48=BK$3,COUNTIF($AW$8:$AW48,BK$3),0)</f>
        <v>0</v>
      </c>
      <c r="BL48" s="416" t="str">
        <f t="shared" si="55"/>
        <v/>
      </c>
      <c r="BM48" s="388">
        <f>IF($AW48&lt;&gt;BM$3,COUNTIF($AW$8:$AW48,"&lt;&gt;"&amp;BM$3),0)</f>
        <v>0</v>
      </c>
      <c r="BN48" s="416" t="str">
        <f t="shared" si="56"/>
        <v/>
      </c>
      <c r="BO48" s="388">
        <f>IF($AW48=BO$3,COUNTIF($AW$8:$AW48,BO$3),0)</f>
        <v>0</v>
      </c>
      <c r="BP48" s="416" t="str">
        <f t="shared" si="57"/>
        <v/>
      </c>
      <c r="BQ48" s="381"/>
      <c r="BR48" s="381"/>
    </row>
    <row r="49" spans="1:70" ht="15" customHeight="1">
      <c r="A49" s="1497"/>
      <c r="B49" s="1498"/>
      <c r="C49" s="1499"/>
      <c r="D49" s="2253" t="str">
        <f t="shared" si="72"/>
        <v>教諭</v>
      </c>
      <c r="E49" s="2254"/>
      <c r="F49" s="2251"/>
      <c r="G49" s="2252"/>
      <c r="H49" s="2252"/>
      <c r="I49" s="860" t="str">
        <f t="shared" si="73"/>
        <v/>
      </c>
      <c r="J49" s="852" t="str">
        <f t="shared" si="58"/>
        <v/>
      </c>
      <c r="K49" s="1075"/>
      <c r="L49" s="898" t="str">
        <f t="shared" si="59"/>
        <v/>
      </c>
      <c r="M49" s="617">
        <f t="shared" si="60"/>
        <v>0</v>
      </c>
      <c r="N49" s="2376"/>
      <c r="O49" s="2377"/>
      <c r="P49" s="230"/>
      <c r="Q49" s="381"/>
      <c r="R49" s="381"/>
      <c r="S49" s="914"/>
      <c r="T49" s="539" t="str">
        <f t="shared" si="61"/>
        <v>教諭</v>
      </c>
      <c r="U49" s="515">
        <f t="shared" si="62"/>
        <v>0</v>
      </c>
      <c r="V49" s="539">
        <v>2</v>
      </c>
      <c r="W49" s="539" t="b">
        <f t="shared" si="63"/>
        <v>0</v>
      </c>
      <c r="X49" s="520" t="b">
        <f t="shared" ca="1" si="64"/>
        <v>0</v>
      </c>
      <c r="Y49" s="543" t="b">
        <f>COUNTIF($AC$15:AC48,AC49)+COUNTIF(AC50:$AC$69,AC49)-IF(AND(ISNUMBER(Z49),Z49=AC49),1,0)=0</f>
        <v>0</v>
      </c>
      <c r="Z49" s="547" t="s">
        <v>801</v>
      </c>
      <c r="AA49" s="547" t="s">
        <v>801</v>
      </c>
      <c r="AB49" s="547" t="s">
        <v>801</v>
      </c>
      <c r="AC49" s="536">
        <f t="shared" si="65"/>
        <v>0</v>
      </c>
      <c r="AD49" s="520" t="b">
        <f t="shared" si="66"/>
        <v>0</v>
      </c>
      <c r="AE49" s="500" t="b">
        <f t="shared" si="67"/>
        <v>0</v>
      </c>
      <c r="AF49" s="539" t="str">
        <f t="shared" si="68"/>
        <v/>
      </c>
      <c r="AG49" s="547">
        <f t="shared" si="69"/>
        <v>0</v>
      </c>
      <c r="AH49" s="529">
        <v>2</v>
      </c>
      <c r="AI49" s="418">
        <f t="shared" si="70"/>
        <v>2</v>
      </c>
      <c r="AJ49" s="420">
        <f t="shared" si="71"/>
        <v>0</v>
      </c>
      <c r="AO49" s="234"/>
      <c r="AP49" s="234"/>
      <c r="AQ49" s="234"/>
      <c r="AR49" s="234"/>
      <c r="AS49" s="229"/>
      <c r="AT49" s="388">
        <f t="shared" si="48"/>
        <v>42</v>
      </c>
      <c r="AU49" s="1081" t="str">
        <f>AT49&amp;" "&amp;IF(AW49&lt;&gt;"-",【様式2】職員名簿!B81&amp;"/"&amp;AV49&amp;"/"&amp;AW49,"")</f>
        <v xml:space="preserve">42 </v>
      </c>
      <c r="AV49" s="1081">
        <f>【様式2】職員名簿!E81</f>
        <v>0</v>
      </c>
      <c r="AW49" s="1081" t="str">
        <f>IF(【様式2】職員名簿!J81="エラー","-",IF(AND(【様式2】職員名簿!C81=$AW$3,【様式2】職員名簿!J81=$AW$4),$AW$3,【様式2】職員名簿!J81))</f>
        <v>-</v>
      </c>
      <c r="AX49" s="392">
        <f>IF($AV49="常勤",$AM$2,IF($AV49="非常勤",【様式2】職員名簿!G81,0))</f>
        <v>0</v>
      </c>
      <c r="AY49" s="415">
        <f>IF($AW49=AY$3,COUNTIF($AW$8:$AW49,AY$3),0)</f>
        <v>0</v>
      </c>
      <c r="AZ49" s="416" t="str">
        <f t="shared" si="49"/>
        <v/>
      </c>
      <c r="BA49" s="388">
        <f>IF(OR($AW49=BA$3,$AW49=BA$4),COUNTIF($AW$8:$AW49,BA$3)+COUNTIF($AW$8:$AW49,BA$4),0)</f>
        <v>0</v>
      </c>
      <c r="BB49" s="416" t="str">
        <f t="shared" si="50"/>
        <v/>
      </c>
      <c r="BC49" s="418">
        <f>IF($AW49=BC$3,COUNTIF($AW$8:$AW49,BC$3),0)</f>
        <v>0</v>
      </c>
      <c r="BD49" s="416" t="str">
        <f t="shared" si="51"/>
        <v/>
      </c>
      <c r="BE49" s="388">
        <f>IF(OR($AW49=BE$3,$AW49=BE$4),COUNTIF($AW$8:$AW49,BE$3)+COUNTIF($AW$8:$AW49,BE$4),0)</f>
        <v>0</v>
      </c>
      <c r="BF49" s="416" t="str">
        <f t="shared" si="52"/>
        <v/>
      </c>
      <c r="BG49" s="388">
        <f>IF($AW49=BG$4,COUNTIFS($AV$8:$AV49,BG$3,$AW$8:$AW49,BG$4),0)</f>
        <v>0</v>
      </c>
      <c r="BH49" s="416" t="str">
        <f t="shared" si="53"/>
        <v/>
      </c>
      <c r="BI49" s="388">
        <f>IF($AW49=BI$3,COUNTIF($AW$8:$AW49,BI$3),0)</f>
        <v>0</v>
      </c>
      <c r="BJ49" s="416" t="str">
        <f t="shared" si="54"/>
        <v/>
      </c>
      <c r="BK49" s="388">
        <f>IF($AW49=BK$3,COUNTIF($AW$8:$AW49,BK$3),0)</f>
        <v>0</v>
      </c>
      <c r="BL49" s="416" t="str">
        <f t="shared" si="55"/>
        <v/>
      </c>
      <c r="BM49" s="388">
        <f>IF($AW49&lt;&gt;BM$3,COUNTIF($AW$8:$AW49,"&lt;&gt;"&amp;BM$3),0)</f>
        <v>0</v>
      </c>
      <c r="BN49" s="416" t="str">
        <f t="shared" si="56"/>
        <v/>
      </c>
      <c r="BO49" s="388">
        <f>IF($AW49=BO$3,COUNTIF($AW$8:$AW49,BO$3),0)</f>
        <v>0</v>
      </c>
      <c r="BP49" s="416" t="str">
        <f t="shared" si="57"/>
        <v/>
      </c>
      <c r="BQ49" s="381"/>
      <c r="BR49" s="381"/>
    </row>
    <row r="50" spans="1:70" ht="15" customHeight="1">
      <c r="A50" s="1497"/>
      <c r="B50" s="1498"/>
      <c r="C50" s="1499"/>
      <c r="D50" s="2253" t="str">
        <f t="shared" si="72"/>
        <v>教諭</v>
      </c>
      <c r="E50" s="2254"/>
      <c r="F50" s="2251"/>
      <c r="G50" s="2252"/>
      <c r="H50" s="2252"/>
      <c r="I50" s="860" t="str">
        <f t="shared" si="73"/>
        <v/>
      </c>
      <c r="J50" s="852" t="str">
        <f t="shared" si="58"/>
        <v/>
      </c>
      <c r="K50" s="1075"/>
      <c r="L50" s="898" t="str">
        <f t="shared" si="59"/>
        <v/>
      </c>
      <c r="M50" s="617">
        <f t="shared" si="60"/>
        <v>0</v>
      </c>
      <c r="N50" s="2376"/>
      <c r="O50" s="2377"/>
      <c r="P50" s="230"/>
      <c r="Q50" s="381"/>
      <c r="R50" s="381"/>
      <c r="S50" s="914"/>
      <c r="T50" s="539" t="str">
        <f t="shared" si="61"/>
        <v>教諭</v>
      </c>
      <c r="U50" s="515">
        <f t="shared" si="62"/>
        <v>0</v>
      </c>
      <c r="V50" s="539">
        <v>2</v>
      </c>
      <c r="W50" s="539" t="b">
        <f t="shared" si="63"/>
        <v>0</v>
      </c>
      <c r="X50" s="520" t="b">
        <f t="shared" ca="1" si="64"/>
        <v>0</v>
      </c>
      <c r="Y50" s="543" t="b">
        <f>COUNTIF($AC$15:AC49,AC50)+COUNTIF(AC51:$AC$69,AC50)-IF(AND(ISNUMBER(Z50),Z50=AC50),1,0)=0</f>
        <v>0</v>
      </c>
      <c r="Z50" s="547" t="s">
        <v>801</v>
      </c>
      <c r="AA50" s="547" t="s">
        <v>801</v>
      </c>
      <c r="AB50" s="547" t="s">
        <v>801</v>
      </c>
      <c r="AC50" s="536">
        <f t="shared" si="65"/>
        <v>0</v>
      </c>
      <c r="AD50" s="520" t="b">
        <f t="shared" si="66"/>
        <v>0</v>
      </c>
      <c r="AE50" s="500" t="b">
        <f t="shared" si="67"/>
        <v>0</v>
      </c>
      <c r="AF50" s="539" t="str">
        <f t="shared" si="68"/>
        <v/>
      </c>
      <c r="AG50" s="547">
        <f t="shared" si="69"/>
        <v>0</v>
      </c>
      <c r="AH50" s="529">
        <v>2</v>
      </c>
      <c r="AI50" s="418">
        <f t="shared" si="70"/>
        <v>2</v>
      </c>
      <c r="AJ50" s="420">
        <f t="shared" si="71"/>
        <v>0</v>
      </c>
      <c r="AL50" s="386"/>
      <c r="AO50" s="234"/>
      <c r="AP50" s="234"/>
      <c r="AQ50" s="234"/>
      <c r="AR50" s="234"/>
      <c r="AS50" s="229"/>
      <c r="AT50" s="388">
        <f t="shared" si="48"/>
        <v>43</v>
      </c>
      <c r="AU50" s="1081" t="str">
        <f>AT50&amp;" "&amp;IF(AW50&lt;&gt;"-",【様式2】職員名簿!B82&amp;"/"&amp;AV50&amp;"/"&amp;AW50,"")</f>
        <v xml:space="preserve">43 </v>
      </c>
      <c r="AV50" s="1081">
        <f>【様式2】職員名簿!E82</f>
        <v>0</v>
      </c>
      <c r="AW50" s="1081" t="str">
        <f>IF(【様式2】職員名簿!J82="エラー","-",IF(AND(【様式2】職員名簿!C82=$AW$3,【様式2】職員名簿!J82=$AW$4),$AW$3,【様式2】職員名簿!J82))</f>
        <v>-</v>
      </c>
      <c r="AX50" s="392">
        <f>IF($AV50="常勤",$AM$2,IF($AV50="非常勤",【様式2】職員名簿!G82,0))</f>
        <v>0</v>
      </c>
      <c r="AY50" s="415">
        <f>IF($AW50=AY$3,COUNTIF($AW$8:$AW50,AY$3),0)</f>
        <v>0</v>
      </c>
      <c r="AZ50" s="416" t="str">
        <f t="shared" si="49"/>
        <v/>
      </c>
      <c r="BA50" s="388">
        <f>IF(OR($AW50=BA$3,$AW50=BA$4),COUNTIF($AW$8:$AW50,BA$3)+COUNTIF($AW$8:$AW50,BA$4),0)</f>
        <v>0</v>
      </c>
      <c r="BB50" s="416" t="str">
        <f t="shared" si="50"/>
        <v/>
      </c>
      <c r="BC50" s="418">
        <f>IF($AW50=BC$3,COUNTIF($AW$8:$AW50,BC$3),0)</f>
        <v>0</v>
      </c>
      <c r="BD50" s="416" t="str">
        <f t="shared" si="51"/>
        <v/>
      </c>
      <c r="BE50" s="388">
        <f>IF(OR($AW50=BE$3,$AW50=BE$4),COUNTIF($AW$8:$AW50,BE$3)+COUNTIF($AW$8:$AW50,BE$4),0)</f>
        <v>0</v>
      </c>
      <c r="BF50" s="416" t="str">
        <f t="shared" si="52"/>
        <v/>
      </c>
      <c r="BG50" s="388">
        <f>IF($AW50=BG$4,COUNTIFS($AV$8:$AV50,BG$3,$AW$8:$AW50,BG$4),0)</f>
        <v>0</v>
      </c>
      <c r="BH50" s="416" t="str">
        <f t="shared" si="53"/>
        <v/>
      </c>
      <c r="BI50" s="388">
        <f>IF($AW50=BI$3,COUNTIF($AW$8:$AW50,BI$3),0)</f>
        <v>0</v>
      </c>
      <c r="BJ50" s="416" t="str">
        <f t="shared" si="54"/>
        <v/>
      </c>
      <c r="BK50" s="388">
        <f>IF($AW50=BK$3,COUNTIF($AW$8:$AW50,BK$3),0)</f>
        <v>0</v>
      </c>
      <c r="BL50" s="416" t="str">
        <f t="shared" si="55"/>
        <v/>
      </c>
      <c r="BM50" s="388">
        <f>IF($AW50&lt;&gt;BM$3,COUNTIF($AW$8:$AW50,"&lt;&gt;"&amp;BM$3),0)</f>
        <v>0</v>
      </c>
      <c r="BN50" s="416" t="str">
        <f t="shared" si="56"/>
        <v/>
      </c>
      <c r="BO50" s="388">
        <f>IF($AW50=BO$3,COUNTIF($AW$8:$AW50,BO$3),0)</f>
        <v>0</v>
      </c>
      <c r="BP50" s="416" t="str">
        <f t="shared" si="57"/>
        <v/>
      </c>
      <c r="BQ50" s="381"/>
      <c r="BR50" s="381"/>
    </row>
    <row r="51" spans="1:70" ht="15" customHeight="1">
      <c r="A51" s="1497"/>
      <c r="B51" s="1498"/>
      <c r="C51" s="1499"/>
      <c r="D51" s="2253" t="str">
        <f t="shared" si="72"/>
        <v>教諭</v>
      </c>
      <c r="E51" s="2254"/>
      <c r="F51" s="2251"/>
      <c r="G51" s="2252"/>
      <c r="H51" s="2252"/>
      <c r="I51" s="860" t="str">
        <f t="shared" si="73"/>
        <v/>
      </c>
      <c r="J51" s="852" t="str">
        <f t="shared" si="58"/>
        <v/>
      </c>
      <c r="K51" s="1075"/>
      <c r="L51" s="898" t="str">
        <f t="shared" si="59"/>
        <v/>
      </c>
      <c r="M51" s="617">
        <f t="shared" si="60"/>
        <v>0</v>
      </c>
      <c r="N51" s="2376"/>
      <c r="O51" s="2377"/>
      <c r="P51" s="230"/>
      <c r="Q51" s="381"/>
      <c r="R51" s="381"/>
      <c r="S51" s="914"/>
      <c r="T51" s="539" t="str">
        <f t="shared" si="61"/>
        <v>教諭</v>
      </c>
      <c r="U51" s="515">
        <f t="shared" si="62"/>
        <v>0</v>
      </c>
      <c r="V51" s="539">
        <v>2</v>
      </c>
      <c r="W51" s="539" t="b">
        <f t="shared" si="63"/>
        <v>0</v>
      </c>
      <c r="X51" s="520" t="b">
        <f t="shared" ca="1" si="64"/>
        <v>0</v>
      </c>
      <c r="Y51" s="543" t="b">
        <f>COUNTIF($AC$15:AC50,AC51)+COUNTIF(AC52:$AC$69,AC51)-IF(AND(ISNUMBER(Z51),Z51=AC51),1,0)=0</f>
        <v>0</v>
      </c>
      <c r="Z51" s="547" t="s">
        <v>801</v>
      </c>
      <c r="AA51" s="547" t="s">
        <v>801</v>
      </c>
      <c r="AB51" s="547" t="s">
        <v>801</v>
      </c>
      <c r="AC51" s="536">
        <f t="shared" si="65"/>
        <v>0</v>
      </c>
      <c r="AD51" s="520" t="b">
        <f t="shared" si="66"/>
        <v>0</v>
      </c>
      <c r="AE51" s="500" t="b">
        <f t="shared" si="67"/>
        <v>0</v>
      </c>
      <c r="AF51" s="539" t="str">
        <f t="shared" si="68"/>
        <v/>
      </c>
      <c r="AG51" s="547">
        <f t="shared" si="69"/>
        <v>0</v>
      </c>
      <c r="AH51" s="529">
        <v>2</v>
      </c>
      <c r="AI51" s="418">
        <f t="shared" si="70"/>
        <v>2</v>
      </c>
      <c r="AJ51" s="420">
        <f t="shared" si="71"/>
        <v>0</v>
      </c>
      <c r="AL51" s="386"/>
      <c r="AO51" s="234"/>
      <c r="AP51" s="234"/>
      <c r="AQ51" s="234"/>
      <c r="AR51" s="234"/>
      <c r="AS51" s="229"/>
      <c r="AT51" s="388">
        <f t="shared" si="48"/>
        <v>44</v>
      </c>
      <c r="AU51" s="1081" t="str">
        <f>AT51&amp;" "&amp;IF(AW51&lt;&gt;"-",【様式2】職員名簿!B83&amp;"/"&amp;AV51&amp;"/"&amp;AW51,"")</f>
        <v xml:space="preserve">44 </v>
      </c>
      <c r="AV51" s="1081">
        <f>【様式2】職員名簿!E83</f>
        <v>0</v>
      </c>
      <c r="AW51" s="1081" t="str">
        <f>IF(【様式2】職員名簿!J83="エラー","-",IF(AND(【様式2】職員名簿!C83=$AW$3,【様式2】職員名簿!J83=$AW$4),$AW$3,【様式2】職員名簿!J83))</f>
        <v>-</v>
      </c>
      <c r="AX51" s="392">
        <f>IF($AV51="常勤",$AM$2,IF($AV51="非常勤",【様式2】職員名簿!G83,0))</f>
        <v>0</v>
      </c>
      <c r="AY51" s="415">
        <f>IF($AW51=AY$3,COUNTIF($AW$8:$AW51,AY$3),0)</f>
        <v>0</v>
      </c>
      <c r="AZ51" s="416" t="str">
        <f t="shared" si="49"/>
        <v/>
      </c>
      <c r="BA51" s="388">
        <f>IF(OR($AW51=BA$3,$AW51=BA$4),COUNTIF($AW$8:$AW51,BA$3)+COUNTIF($AW$8:$AW51,BA$4),0)</f>
        <v>0</v>
      </c>
      <c r="BB51" s="416" t="str">
        <f t="shared" si="50"/>
        <v/>
      </c>
      <c r="BC51" s="418">
        <f>IF($AW51=BC$3,COUNTIF($AW$8:$AW51,BC$3),0)</f>
        <v>0</v>
      </c>
      <c r="BD51" s="416" t="str">
        <f t="shared" si="51"/>
        <v/>
      </c>
      <c r="BE51" s="388">
        <f>IF(OR($AW51=BE$3,$AW51=BE$4),COUNTIF($AW$8:$AW51,BE$3)+COUNTIF($AW$8:$AW51,BE$4),0)</f>
        <v>0</v>
      </c>
      <c r="BF51" s="416" t="str">
        <f t="shared" si="52"/>
        <v/>
      </c>
      <c r="BG51" s="388">
        <f>IF($AW51=BG$4,COUNTIFS($AV$8:$AV51,BG$3,$AW$8:$AW51,BG$4),0)</f>
        <v>0</v>
      </c>
      <c r="BH51" s="416" t="str">
        <f t="shared" si="53"/>
        <v/>
      </c>
      <c r="BI51" s="388">
        <f>IF($AW51=BI$3,COUNTIF($AW$8:$AW51,BI$3),0)</f>
        <v>0</v>
      </c>
      <c r="BJ51" s="416" t="str">
        <f t="shared" si="54"/>
        <v/>
      </c>
      <c r="BK51" s="388">
        <f>IF($AW51=BK$3,COUNTIF($AW$8:$AW51,BK$3),0)</f>
        <v>0</v>
      </c>
      <c r="BL51" s="416" t="str">
        <f t="shared" si="55"/>
        <v/>
      </c>
      <c r="BM51" s="388">
        <f>IF($AW51&lt;&gt;BM$3,COUNTIF($AW$8:$AW51,"&lt;&gt;"&amp;BM$3),0)</f>
        <v>0</v>
      </c>
      <c r="BN51" s="416" t="str">
        <f t="shared" si="56"/>
        <v/>
      </c>
      <c r="BO51" s="388">
        <f>IF($AW51=BO$3,COUNTIF($AW$8:$AW51,BO$3),0)</f>
        <v>0</v>
      </c>
      <c r="BP51" s="416" t="str">
        <f t="shared" si="57"/>
        <v/>
      </c>
      <c r="BQ51" s="381"/>
      <c r="BR51" s="381"/>
    </row>
    <row r="52" spans="1:70" ht="15" customHeight="1">
      <c r="A52" s="1497"/>
      <c r="B52" s="1498"/>
      <c r="C52" s="1499"/>
      <c r="D52" s="2253" t="str">
        <f t="shared" si="72"/>
        <v>教諭</v>
      </c>
      <c r="E52" s="2254"/>
      <c r="F52" s="2251"/>
      <c r="G52" s="2252"/>
      <c r="H52" s="2252"/>
      <c r="I52" s="860" t="str">
        <f t="shared" si="73"/>
        <v/>
      </c>
      <c r="J52" s="852" t="str">
        <f t="shared" si="58"/>
        <v/>
      </c>
      <c r="K52" s="1075"/>
      <c r="L52" s="898" t="str">
        <f t="shared" si="59"/>
        <v/>
      </c>
      <c r="M52" s="617">
        <f t="shared" si="60"/>
        <v>0</v>
      </c>
      <c r="N52" s="2376"/>
      <c r="O52" s="2377"/>
      <c r="P52" s="230"/>
      <c r="Q52" s="381"/>
      <c r="R52" s="381"/>
      <c r="S52" s="914"/>
      <c r="T52" s="539" t="str">
        <f t="shared" si="61"/>
        <v>教諭</v>
      </c>
      <c r="U52" s="515">
        <f t="shared" si="62"/>
        <v>0</v>
      </c>
      <c r="V52" s="539">
        <v>2</v>
      </c>
      <c r="W52" s="539" t="b">
        <f t="shared" si="63"/>
        <v>0</v>
      </c>
      <c r="X52" s="520" t="b">
        <f t="shared" ca="1" si="64"/>
        <v>0</v>
      </c>
      <c r="Y52" s="543" t="b">
        <f>COUNTIF($AC$15:AC51,AC52)+COUNTIF(AC53:$AC$69,AC52)-IF(AND(ISNUMBER(Z52),Z52=AC52),1,0)=0</f>
        <v>0</v>
      </c>
      <c r="Z52" s="547" t="s">
        <v>801</v>
      </c>
      <c r="AA52" s="547" t="s">
        <v>801</v>
      </c>
      <c r="AB52" s="547" t="s">
        <v>801</v>
      </c>
      <c r="AC52" s="536">
        <f t="shared" si="65"/>
        <v>0</v>
      </c>
      <c r="AD52" s="520" t="b">
        <f t="shared" si="66"/>
        <v>0</v>
      </c>
      <c r="AE52" s="500" t="b">
        <f t="shared" si="67"/>
        <v>0</v>
      </c>
      <c r="AF52" s="539" t="str">
        <f t="shared" si="68"/>
        <v/>
      </c>
      <c r="AG52" s="547">
        <f t="shared" si="69"/>
        <v>0</v>
      </c>
      <c r="AH52" s="529">
        <v>2</v>
      </c>
      <c r="AI52" s="418">
        <f t="shared" si="70"/>
        <v>2</v>
      </c>
      <c r="AJ52" s="420">
        <f t="shared" si="71"/>
        <v>0</v>
      </c>
      <c r="AL52" s="386"/>
      <c r="AO52" s="234"/>
      <c r="AP52" s="234"/>
      <c r="AQ52" s="234"/>
      <c r="AR52" s="234"/>
      <c r="AS52" s="229"/>
      <c r="AT52" s="388">
        <f t="shared" si="48"/>
        <v>45</v>
      </c>
      <c r="AU52" s="1081" t="str">
        <f>AT52&amp;" "&amp;IF(AW52&lt;&gt;"-",【様式2】職員名簿!B84&amp;"/"&amp;AV52&amp;"/"&amp;AW52,"")</f>
        <v xml:space="preserve">45 </v>
      </c>
      <c r="AV52" s="1081">
        <f>【様式2】職員名簿!E84</f>
        <v>0</v>
      </c>
      <c r="AW52" s="1081" t="str">
        <f>IF(【様式2】職員名簿!J84="エラー","-",IF(AND(【様式2】職員名簿!C84=$AW$3,【様式2】職員名簿!J84=$AW$4),$AW$3,【様式2】職員名簿!J84))</f>
        <v>-</v>
      </c>
      <c r="AX52" s="392">
        <f>IF($AV52="常勤",$AM$2,IF($AV52="非常勤",【様式2】職員名簿!G84,0))</f>
        <v>0</v>
      </c>
      <c r="AY52" s="415">
        <f>IF($AW52=AY$3,COUNTIF($AW$8:$AW52,AY$3),0)</f>
        <v>0</v>
      </c>
      <c r="AZ52" s="416" t="str">
        <f t="shared" si="49"/>
        <v/>
      </c>
      <c r="BA52" s="388">
        <f>IF(OR($AW52=BA$3,$AW52=BA$4),COUNTIF($AW$8:$AW52,BA$3)+COUNTIF($AW$8:$AW52,BA$4),0)</f>
        <v>0</v>
      </c>
      <c r="BB52" s="416" t="str">
        <f t="shared" si="50"/>
        <v/>
      </c>
      <c r="BC52" s="418">
        <f>IF($AW52=BC$3,COUNTIF($AW$8:$AW52,BC$3),0)</f>
        <v>0</v>
      </c>
      <c r="BD52" s="416" t="str">
        <f t="shared" si="51"/>
        <v/>
      </c>
      <c r="BE52" s="388">
        <f>IF(OR($AW52=BE$3,$AW52=BE$4),COUNTIF($AW$8:$AW52,BE$3)+COUNTIF($AW$8:$AW52,BE$4),0)</f>
        <v>0</v>
      </c>
      <c r="BF52" s="416" t="str">
        <f t="shared" si="52"/>
        <v/>
      </c>
      <c r="BG52" s="388">
        <f>IF($AW52=BG$4,COUNTIFS($AV$8:$AV52,BG$3,$AW$8:$AW52,BG$4),0)</f>
        <v>0</v>
      </c>
      <c r="BH52" s="416" t="str">
        <f t="shared" si="53"/>
        <v/>
      </c>
      <c r="BI52" s="388">
        <f>IF($AW52=BI$3,COUNTIF($AW$8:$AW52,BI$3),0)</f>
        <v>0</v>
      </c>
      <c r="BJ52" s="416" t="str">
        <f t="shared" si="54"/>
        <v/>
      </c>
      <c r="BK52" s="388">
        <f>IF($AW52=BK$3,COUNTIF($AW$8:$AW52,BK$3),0)</f>
        <v>0</v>
      </c>
      <c r="BL52" s="416" t="str">
        <f t="shared" si="55"/>
        <v/>
      </c>
      <c r="BM52" s="388">
        <f>IF($AW52&lt;&gt;BM$3,COUNTIF($AW$8:$AW52,"&lt;&gt;"&amp;BM$3),0)</f>
        <v>0</v>
      </c>
      <c r="BN52" s="416" t="str">
        <f t="shared" si="56"/>
        <v/>
      </c>
      <c r="BO52" s="388">
        <f>IF($AW52=BO$3,COUNTIF($AW$8:$AW52,BO$3),0)</f>
        <v>0</v>
      </c>
      <c r="BP52" s="416" t="str">
        <f t="shared" si="57"/>
        <v/>
      </c>
      <c r="BQ52" s="381"/>
      <c r="BR52" s="381"/>
    </row>
    <row r="53" spans="1:70" ht="15" customHeight="1">
      <c r="A53" s="1497"/>
      <c r="B53" s="1498"/>
      <c r="C53" s="1499"/>
      <c r="D53" s="2253" t="str">
        <f t="shared" si="72"/>
        <v>教諭</v>
      </c>
      <c r="E53" s="2254"/>
      <c r="F53" s="2251"/>
      <c r="G53" s="2252"/>
      <c r="H53" s="2252"/>
      <c r="I53" s="860" t="str">
        <f t="shared" si="73"/>
        <v/>
      </c>
      <c r="J53" s="852" t="str">
        <f t="shared" si="58"/>
        <v/>
      </c>
      <c r="K53" s="1075"/>
      <c r="L53" s="898" t="str">
        <f t="shared" si="59"/>
        <v/>
      </c>
      <c r="M53" s="617">
        <f t="shared" si="60"/>
        <v>0</v>
      </c>
      <c r="N53" s="2376"/>
      <c r="O53" s="2377"/>
      <c r="P53" s="230"/>
      <c r="Q53" s="381"/>
      <c r="R53" s="381"/>
      <c r="S53" s="914"/>
      <c r="T53" s="539" t="str">
        <f t="shared" si="61"/>
        <v>教諭</v>
      </c>
      <c r="U53" s="515">
        <f t="shared" si="62"/>
        <v>0</v>
      </c>
      <c r="V53" s="539">
        <v>2</v>
      </c>
      <c r="W53" s="539" t="b">
        <f t="shared" si="63"/>
        <v>0</v>
      </c>
      <c r="X53" s="520" t="b">
        <f t="shared" ca="1" si="64"/>
        <v>0</v>
      </c>
      <c r="Y53" s="543" t="b">
        <f>COUNTIF($AC$15:AC52,AC53)+COUNTIF(AC54:$AC$69,AC53)-IF(AND(ISNUMBER(Z53),Z53=AC53),1,0)=0</f>
        <v>0</v>
      </c>
      <c r="Z53" s="547" t="s">
        <v>801</v>
      </c>
      <c r="AA53" s="547" t="s">
        <v>801</v>
      </c>
      <c r="AB53" s="547" t="s">
        <v>801</v>
      </c>
      <c r="AC53" s="536">
        <f t="shared" si="65"/>
        <v>0</v>
      </c>
      <c r="AD53" s="520" t="b">
        <f t="shared" si="66"/>
        <v>0</v>
      </c>
      <c r="AE53" s="500" t="b">
        <f t="shared" si="67"/>
        <v>0</v>
      </c>
      <c r="AF53" s="539" t="str">
        <f t="shared" si="68"/>
        <v/>
      </c>
      <c r="AG53" s="547">
        <f t="shared" si="69"/>
        <v>0</v>
      </c>
      <c r="AH53" s="529">
        <v>2</v>
      </c>
      <c r="AI53" s="418">
        <f t="shared" si="70"/>
        <v>2</v>
      </c>
      <c r="AJ53" s="420">
        <f t="shared" si="71"/>
        <v>0</v>
      </c>
      <c r="AL53" s="386"/>
      <c r="AO53" s="234"/>
      <c r="AP53" s="234"/>
      <c r="AQ53" s="234"/>
      <c r="AR53" s="234"/>
      <c r="AS53" s="229"/>
      <c r="AT53" s="388">
        <f t="shared" si="48"/>
        <v>46</v>
      </c>
      <c r="AU53" s="1081" t="str">
        <f>AT53&amp;" "&amp;IF(AW53&lt;&gt;"-",【様式2】職員名簿!B85&amp;"/"&amp;AV53&amp;"/"&amp;AW53,"")</f>
        <v xml:space="preserve">46 </v>
      </c>
      <c r="AV53" s="1081">
        <f>【様式2】職員名簿!E85</f>
        <v>0</v>
      </c>
      <c r="AW53" s="1081" t="str">
        <f>IF(【様式2】職員名簿!J85="エラー","-",IF(AND(【様式2】職員名簿!C85=$AW$3,【様式2】職員名簿!J85=$AW$4),$AW$3,【様式2】職員名簿!J85))</f>
        <v>-</v>
      </c>
      <c r="AX53" s="392">
        <f>IF($AV53="常勤",$AM$2,IF($AV53="非常勤",【様式2】職員名簿!G85,0))</f>
        <v>0</v>
      </c>
      <c r="AY53" s="415">
        <f>IF($AW53=AY$3,COUNTIF($AW$8:$AW53,AY$3),0)</f>
        <v>0</v>
      </c>
      <c r="AZ53" s="416" t="str">
        <f t="shared" si="49"/>
        <v/>
      </c>
      <c r="BA53" s="388">
        <f>IF(OR($AW53=BA$3,$AW53=BA$4),COUNTIF($AW$8:$AW53,BA$3)+COUNTIF($AW$8:$AW53,BA$4),0)</f>
        <v>0</v>
      </c>
      <c r="BB53" s="416" t="str">
        <f t="shared" si="50"/>
        <v/>
      </c>
      <c r="BC53" s="418">
        <f>IF($AW53=BC$3,COUNTIF($AW$8:$AW53,BC$3),0)</f>
        <v>0</v>
      </c>
      <c r="BD53" s="416" t="str">
        <f t="shared" si="51"/>
        <v/>
      </c>
      <c r="BE53" s="388">
        <f>IF(OR($AW53=BE$3,$AW53=BE$4),COUNTIF($AW$8:$AW53,BE$3)+COUNTIF($AW$8:$AW53,BE$4),0)</f>
        <v>0</v>
      </c>
      <c r="BF53" s="416" t="str">
        <f t="shared" si="52"/>
        <v/>
      </c>
      <c r="BG53" s="388">
        <f>IF($AW53=BG$4,COUNTIFS($AV$8:$AV53,BG$3,$AW$8:$AW53,BG$4),0)</f>
        <v>0</v>
      </c>
      <c r="BH53" s="416" t="str">
        <f t="shared" si="53"/>
        <v/>
      </c>
      <c r="BI53" s="388">
        <f>IF($AW53=BI$3,COUNTIF($AW$8:$AW53,BI$3),0)</f>
        <v>0</v>
      </c>
      <c r="BJ53" s="416" t="str">
        <f t="shared" si="54"/>
        <v/>
      </c>
      <c r="BK53" s="388">
        <f>IF($AW53=BK$3,COUNTIF($AW$8:$AW53,BK$3),0)</f>
        <v>0</v>
      </c>
      <c r="BL53" s="416" t="str">
        <f t="shared" si="55"/>
        <v/>
      </c>
      <c r="BM53" s="388">
        <f>IF($AW53&lt;&gt;BM$3,COUNTIF($AW$8:$AW53,"&lt;&gt;"&amp;BM$3),0)</f>
        <v>0</v>
      </c>
      <c r="BN53" s="416" t="str">
        <f t="shared" si="56"/>
        <v/>
      </c>
      <c r="BO53" s="388">
        <f>IF($AW53=BO$3,COUNTIF($AW$8:$AW53,BO$3),0)</f>
        <v>0</v>
      </c>
      <c r="BP53" s="416" t="str">
        <f t="shared" si="57"/>
        <v/>
      </c>
      <c r="BQ53" s="381"/>
      <c r="BR53" s="381"/>
    </row>
    <row r="54" spans="1:70" ht="15" customHeight="1">
      <c r="A54" s="1497"/>
      <c r="B54" s="1498"/>
      <c r="C54" s="1499"/>
      <c r="D54" s="2253" t="str">
        <f t="shared" si="72"/>
        <v>教諭</v>
      </c>
      <c r="E54" s="2254"/>
      <c r="F54" s="2251"/>
      <c r="G54" s="2252"/>
      <c r="H54" s="2252"/>
      <c r="I54" s="860" t="str">
        <f t="shared" si="73"/>
        <v/>
      </c>
      <c r="J54" s="852" t="str">
        <f t="shared" si="58"/>
        <v/>
      </c>
      <c r="K54" s="1075"/>
      <c r="L54" s="898" t="str">
        <f t="shared" si="59"/>
        <v/>
      </c>
      <c r="M54" s="617">
        <f t="shared" si="60"/>
        <v>0</v>
      </c>
      <c r="N54" s="2376"/>
      <c r="O54" s="2377"/>
      <c r="P54" s="230"/>
      <c r="Q54" s="381"/>
      <c r="R54" s="381"/>
      <c r="S54" s="914"/>
      <c r="T54" s="539" t="str">
        <f t="shared" si="61"/>
        <v>教諭</v>
      </c>
      <c r="U54" s="515">
        <f t="shared" si="62"/>
        <v>0</v>
      </c>
      <c r="V54" s="539">
        <v>2</v>
      </c>
      <c r="W54" s="539" t="b">
        <f t="shared" si="63"/>
        <v>0</v>
      </c>
      <c r="X54" s="520" t="b">
        <f t="shared" ca="1" si="64"/>
        <v>0</v>
      </c>
      <c r="Y54" s="543" t="b">
        <f>COUNTIF($AC$15:AC53,AC54)+COUNTIF(AC55:$AC$69,AC54)-IF(AND(ISNUMBER(Z54),Z54=AC54),1,0)=0</f>
        <v>0</v>
      </c>
      <c r="Z54" s="547" t="s">
        <v>801</v>
      </c>
      <c r="AA54" s="547" t="s">
        <v>801</v>
      </c>
      <c r="AB54" s="547" t="s">
        <v>801</v>
      </c>
      <c r="AC54" s="536">
        <f t="shared" si="65"/>
        <v>0</v>
      </c>
      <c r="AD54" s="520" t="b">
        <f t="shared" si="66"/>
        <v>0</v>
      </c>
      <c r="AE54" s="500" t="b">
        <f t="shared" si="67"/>
        <v>0</v>
      </c>
      <c r="AF54" s="539" t="str">
        <f t="shared" si="68"/>
        <v/>
      </c>
      <c r="AG54" s="547">
        <f t="shared" si="69"/>
        <v>0</v>
      </c>
      <c r="AH54" s="529">
        <v>2</v>
      </c>
      <c r="AI54" s="418">
        <f t="shared" si="70"/>
        <v>2</v>
      </c>
      <c r="AJ54" s="420">
        <f t="shared" si="71"/>
        <v>0</v>
      </c>
      <c r="AL54" s="386"/>
      <c r="AM54" s="386"/>
      <c r="AP54" s="234"/>
      <c r="AQ54" s="234"/>
      <c r="AR54" s="234"/>
      <c r="AS54" s="229"/>
      <c r="AT54" s="388">
        <f t="shared" si="48"/>
        <v>47</v>
      </c>
      <c r="AU54" s="1081" t="str">
        <f>AT54&amp;" "&amp;IF(AW54&lt;&gt;"-",【様式2】職員名簿!B86&amp;"/"&amp;AV54&amp;"/"&amp;AW54,"")</f>
        <v xml:space="preserve">47 </v>
      </c>
      <c r="AV54" s="1081">
        <f>【様式2】職員名簿!E86</f>
        <v>0</v>
      </c>
      <c r="AW54" s="1081" t="str">
        <f>IF(【様式2】職員名簿!J86="エラー","-",IF(AND(【様式2】職員名簿!C86=$AW$3,【様式2】職員名簿!J86=$AW$4),$AW$3,【様式2】職員名簿!J86))</f>
        <v>-</v>
      </c>
      <c r="AX54" s="392">
        <f>IF($AV54="常勤",$AM$2,IF($AV54="非常勤",【様式2】職員名簿!G86,0))</f>
        <v>0</v>
      </c>
      <c r="AY54" s="415">
        <f>IF($AW54=AY$3,COUNTIF($AW$8:$AW54,AY$3),0)</f>
        <v>0</v>
      </c>
      <c r="AZ54" s="416" t="str">
        <f t="shared" si="49"/>
        <v/>
      </c>
      <c r="BA54" s="388">
        <f>IF(OR($AW54=BA$3,$AW54=BA$4),COUNTIF($AW$8:$AW54,BA$3)+COUNTIF($AW$8:$AW54,BA$4),0)</f>
        <v>0</v>
      </c>
      <c r="BB54" s="416" t="str">
        <f t="shared" si="50"/>
        <v/>
      </c>
      <c r="BC54" s="418">
        <f>IF($AW54=BC$3,COUNTIF($AW$8:$AW54,BC$3),0)</f>
        <v>0</v>
      </c>
      <c r="BD54" s="416" t="str">
        <f t="shared" si="51"/>
        <v/>
      </c>
      <c r="BE54" s="388">
        <f>IF(OR($AW54=BE$3,$AW54=BE$4),COUNTIF($AW$8:$AW54,BE$3)+COUNTIF($AW$8:$AW54,BE$4),0)</f>
        <v>0</v>
      </c>
      <c r="BF54" s="416" t="str">
        <f t="shared" si="52"/>
        <v/>
      </c>
      <c r="BG54" s="388">
        <f>IF($AW54=BG$4,COUNTIFS($AV$8:$AV54,BG$3,$AW$8:$AW54,BG$4),0)</f>
        <v>0</v>
      </c>
      <c r="BH54" s="416" t="str">
        <f t="shared" si="53"/>
        <v/>
      </c>
      <c r="BI54" s="388">
        <f>IF($AW54=BI$3,COUNTIF($AW$8:$AW54,BI$3),0)</f>
        <v>0</v>
      </c>
      <c r="BJ54" s="416" t="str">
        <f t="shared" si="54"/>
        <v/>
      </c>
      <c r="BK54" s="388">
        <f>IF($AW54=BK$3,COUNTIF($AW$8:$AW54,BK$3),0)</f>
        <v>0</v>
      </c>
      <c r="BL54" s="416" t="str">
        <f t="shared" si="55"/>
        <v/>
      </c>
      <c r="BM54" s="388">
        <f>IF($AW54&lt;&gt;BM$3,COUNTIF($AW$8:$AW54,"&lt;&gt;"&amp;BM$3),0)</f>
        <v>0</v>
      </c>
      <c r="BN54" s="416" t="str">
        <f t="shared" si="56"/>
        <v/>
      </c>
      <c r="BO54" s="388">
        <f>IF($AW54=BO$3,COUNTIF($AW$8:$AW54,BO$3),0)</f>
        <v>0</v>
      </c>
      <c r="BP54" s="416" t="str">
        <f t="shared" si="57"/>
        <v/>
      </c>
      <c r="BQ54" s="381"/>
      <c r="BR54" s="381"/>
    </row>
    <row r="55" spans="1:70" ht="15" customHeight="1">
      <c r="A55" s="1497"/>
      <c r="B55" s="1498"/>
      <c r="C55" s="1499"/>
      <c r="D55" s="2253" t="str">
        <f t="shared" si="72"/>
        <v>教諭</v>
      </c>
      <c r="E55" s="2254"/>
      <c r="F55" s="2251"/>
      <c r="G55" s="2252"/>
      <c r="H55" s="2252"/>
      <c r="I55" s="860" t="str">
        <f t="shared" si="73"/>
        <v/>
      </c>
      <c r="J55" s="852" t="str">
        <f t="shared" si="58"/>
        <v/>
      </c>
      <c r="K55" s="1075"/>
      <c r="L55" s="898" t="str">
        <f t="shared" si="59"/>
        <v/>
      </c>
      <c r="M55" s="617">
        <f t="shared" si="60"/>
        <v>0</v>
      </c>
      <c r="N55" s="2376"/>
      <c r="O55" s="2377"/>
      <c r="P55" s="230"/>
      <c r="Q55" s="381"/>
      <c r="R55" s="381"/>
      <c r="S55" s="914"/>
      <c r="T55" s="539" t="str">
        <f t="shared" si="61"/>
        <v>教諭</v>
      </c>
      <c r="U55" s="515">
        <f t="shared" si="62"/>
        <v>0</v>
      </c>
      <c r="V55" s="539">
        <v>2</v>
      </c>
      <c r="W55" s="539" t="b">
        <f t="shared" si="63"/>
        <v>0</v>
      </c>
      <c r="X55" s="520" t="b">
        <f t="shared" ca="1" si="64"/>
        <v>0</v>
      </c>
      <c r="Y55" s="543" t="b">
        <f>COUNTIF($AC$15:AC54,AC55)+COUNTIF(AC56:$AC$69,AC55)-IF(AND(ISNUMBER(Z55),Z55=AC55),1,0)=0</f>
        <v>0</v>
      </c>
      <c r="Z55" s="547" t="s">
        <v>801</v>
      </c>
      <c r="AA55" s="547" t="s">
        <v>801</v>
      </c>
      <c r="AB55" s="547" t="s">
        <v>801</v>
      </c>
      <c r="AC55" s="536">
        <f t="shared" si="65"/>
        <v>0</v>
      </c>
      <c r="AD55" s="520" t="b">
        <f t="shared" si="66"/>
        <v>0</v>
      </c>
      <c r="AE55" s="500" t="b">
        <f t="shared" si="67"/>
        <v>0</v>
      </c>
      <c r="AF55" s="539" t="str">
        <f t="shared" si="68"/>
        <v/>
      </c>
      <c r="AG55" s="547">
        <f t="shared" si="69"/>
        <v>0</v>
      </c>
      <c r="AH55" s="529">
        <v>2</v>
      </c>
      <c r="AI55" s="418">
        <f t="shared" si="70"/>
        <v>2</v>
      </c>
      <c r="AJ55" s="420">
        <f t="shared" si="71"/>
        <v>0</v>
      </c>
      <c r="AM55" s="386"/>
      <c r="AP55" s="234"/>
      <c r="AQ55" s="234"/>
      <c r="AR55" s="234"/>
      <c r="AS55" s="229"/>
      <c r="AT55" s="388">
        <f t="shared" si="48"/>
        <v>48</v>
      </c>
      <c r="AU55" s="1081" t="str">
        <f>AT55&amp;" "&amp;IF(AW55&lt;&gt;"-",【様式2】職員名簿!B87&amp;"/"&amp;AV55&amp;"/"&amp;AW55,"")</f>
        <v xml:space="preserve">48 </v>
      </c>
      <c r="AV55" s="1081">
        <f>【様式2】職員名簿!E87</f>
        <v>0</v>
      </c>
      <c r="AW55" s="1081" t="str">
        <f>IF(【様式2】職員名簿!J87="エラー","-",IF(AND(【様式2】職員名簿!C87=$AW$3,【様式2】職員名簿!J87=$AW$4),$AW$3,【様式2】職員名簿!J87))</f>
        <v>-</v>
      </c>
      <c r="AX55" s="392">
        <f>IF($AV55="常勤",$AM$2,IF($AV55="非常勤",【様式2】職員名簿!G87,0))</f>
        <v>0</v>
      </c>
      <c r="AY55" s="415">
        <f>IF($AW55=AY$3,COUNTIF($AW$8:$AW55,AY$3),0)</f>
        <v>0</v>
      </c>
      <c r="AZ55" s="416" t="str">
        <f t="shared" si="49"/>
        <v/>
      </c>
      <c r="BA55" s="388">
        <f>IF(OR($AW55=BA$3,$AW55=BA$4),COUNTIF($AW$8:$AW55,BA$3)+COUNTIF($AW$8:$AW55,BA$4),0)</f>
        <v>0</v>
      </c>
      <c r="BB55" s="416" t="str">
        <f t="shared" si="50"/>
        <v/>
      </c>
      <c r="BC55" s="418">
        <f>IF($AW55=BC$3,COUNTIF($AW$8:$AW55,BC$3),0)</f>
        <v>0</v>
      </c>
      <c r="BD55" s="416" t="str">
        <f t="shared" si="51"/>
        <v/>
      </c>
      <c r="BE55" s="388">
        <f>IF(OR($AW55=BE$3,$AW55=BE$4),COUNTIF($AW$8:$AW55,BE$3)+COUNTIF($AW$8:$AW55,BE$4),0)</f>
        <v>0</v>
      </c>
      <c r="BF55" s="416" t="str">
        <f t="shared" si="52"/>
        <v/>
      </c>
      <c r="BG55" s="388">
        <f>IF($AW55=BG$4,COUNTIFS($AV$8:$AV55,BG$3,$AW$8:$AW55,BG$4),0)</f>
        <v>0</v>
      </c>
      <c r="BH55" s="416" t="str">
        <f t="shared" si="53"/>
        <v/>
      </c>
      <c r="BI55" s="388">
        <f>IF($AW55=BI$3,COUNTIF($AW$8:$AW55,BI$3),0)</f>
        <v>0</v>
      </c>
      <c r="BJ55" s="416" t="str">
        <f t="shared" si="54"/>
        <v/>
      </c>
      <c r="BK55" s="388">
        <f>IF($AW55=BK$3,COUNTIF($AW$8:$AW55,BK$3),0)</f>
        <v>0</v>
      </c>
      <c r="BL55" s="416" t="str">
        <f t="shared" si="55"/>
        <v/>
      </c>
      <c r="BM55" s="388">
        <f>IF($AW55&lt;&gt;BM$3,COUNTIF($AW$8:$AW55,"&lt;&gt;"&amp;BM$3),0)</f>
        <v>0</v>
      </c>
      <c r="BN55" s="416" t="str">
        <f t="shared" si="56"/>
        <v/>
      </c>
      <c r="BO55" s="388">
        <f>IF($AW55=BO$3,COUNTIF($AW$8:$AW55,BO$3),0)</f>
        <v>0</v>
      </c>
      <c r="BP55" s="416" t="str">
        <f t="shared" si="57"/>
        <v/>
      </c>
      <c r="BQ55" s="381"/>
      <c r="BR55" s="381"/>
    </row>
    <row r="56" spans="1:70" ht="15" customHeight="1">
      <c r="A56" s="1497"/>
      <c r="B56" s="1498"/>
      <c r="C56" s="1499"/>
      <c r="D56" s="2253" t="str">
        <f t="shared" si="72"/>
        <v>全職種</v>
      </c>
      <c r="E56" s="2254"/>
      <c r="F56" s="2251"/>
      <c r="G56" s="2252"/>
      <c r="H56" s="2252"/>
      <c r="I56" s="860" t="str">
        <f t="shared" si="73"/>
        <v/>
      </c>
      <c r="J56" s="852" t="str">
        <f t="shared" si="58"/>
        <v/>
      </c>
      <c r="K56" s="1075"/>
      <c r="L56" s="898" t="str">
        <f t="shared" si="59"/>
        <v/>
      </c>
      <c r="M56" s="617">
        <f t="shared" si="60"/>
        <v>0</v>
      </c>
      <c r="N56" s="2376"/>
      <c r="O56" s="2377"/>
      <c r="P56" s="230"/>
      <c r="Q56" s="381"/>
      <c r="R56" s="381"/>
      <c r="S56" s="914"/>
      <c r="T56" s="539" t="str">
        <f t="shared" ref="T56:T67" si="74">$BN$6</f>
        <v>全職種</v>
      </c>
      <c r="U56" s="515">
        <f t="shared" si="62"/>
        <v>0</v>
      </c>
      <c r="V56" s="539">
        <v>2</v>
      </c>
      <c r="W56" s="539" t="b">
        <f t="shared" si="63"/>
        <v>0</v>
      </c>
      <c r="X56" s="520" t="b">
        <f t="shared" ca="1" si="64"/>
        <v>0</v>
      </c>
      <c r="Y56" s="543" t="b">
        <f>COUNTIF($AC$15:AC55,AC56)+COUNTIF(AC57:$AC$69,AC56)-IF(AND(ISNUMBER(Z56),Z56=AC56),1,0)=0</f>
        <v>0</v>
      </c>
      <c r="Z56" s="547" t="s">
        <v>801</v>
      </c>
      <c r="AA56" s="547" t="s">
        <v>801</v>
      </c>
      <c r="AB56" s="547" t="s">
        <v>801</v>
      </c>
      <c r="AC56" s="536">
        <f t="shared" si="65"/>
        <v>0</v>
      </c>
      <c r="AD56" s="520" t="b">
        <f t="shared" si="66"/>
        <v>0</v>
      </c>
      <c r="AE56" s="500" t="b">
        <f t="shared" si="67"/>
        <v>0</v>
      </c>
      <c r="AF56" s="539" t="str">
        <f t="shared" si="68"/>
        <v/>
      </c>
      <c r="AG56" s="547">
        <f t="shared" si="69"/>
        <v>0</v>
      </c>
      <c r="AH56" s="529">
        <v>2</v>
      </c>
      <c r="AI56" s="418">
        <f t="shared" si="70"/>
        <v>2</v>
      </c>
      <c r="AJ56" s="420">
        <f t="shared" si="71"/>
        <v>0</v>
      </c>
      <c r="AM56" s="386"/>
      <c r="AP56" s="234"/>
      <c r="AQ56" s="234"/>
      <c r="AR56" s="234"/>
      <c r="AS56" s="240"/>
      <c r="AT56" s="388">
        <f t="shared" si="48"/>
        <v>49</v>
      </c>
      <c r="AU56" s="1081" t="str">
        <f>AT56&amp;" "&amp;IF(AW56&lt;&gt;"-",【様式2】職員名簿!B88&amp;"/"&amp;AV56&amp;"/"&amp;AW56,"")</f>
        <v xml:space="preserve">49 </v>
      </c>
      <c r="AV56" s="1081">
        <f>【様式2】職員名簿!E88</f>
        <v>0</v>
      </c>
      <c r="AW56" s="1081" t="str">
        <f>IF(【様式2】職員名簿!J88="エラー","-",IF(AND(【様式2】職員名簿!C88=$AW$3,【様式2】職員名簿!J88=$AW$4),$AW$3,【様式2】職員名簿!J88))</f>
        <v>-</v>
      </c>
      <c r="AX56" s="392">
        <f>IF($AV56="常勤",$AM$2,IF($AV56="非常勤",【様式2】職員名簿!G88,0))</f>
        <v>0</v>
      </c>
      <c r="AY56" s="415">
        <f>IF($AW56=AY$3,COUNTIF($AW$8:$AW56,AY$3),0)</f>
        <v>0</v>
      </c>
      <c r="AZ56" s="416" t="str">
        <f t="shared" si="49"/>
        <v/>
      </c>
      <c r="BA56" s="388">
        <f>IF(OR($AW56=BA$3,$AW56=BA$4),COUNTIF($AW$8:$AW56,BA$3)+COUNTIF($AW$8:$AW56,BA$4),0)</f>
        <v>0</v>
      </c>
      <c r="BB56" s="416" t="str">
        <f t="shared" si="50"/>
        <v/>
      </c>
      <c r="BC56" s="418">
        <f>IF($AW56=BC$3,COUNTIF($AW$8:$AW56,BC$3),0)</f>
        <v>0</v>
      </c>
      <c r="BD56" s="416" t="str">
        <f t="shared" si="51"/>
        <v/>
      </c>
      <c r="BE56" s="388">
        <f>IF(OR($AW56=BE$3,$AW56=BE$4),COUNTIF($AW$8:$AW56,BE$3)+COUNTIF($AW$8:$AW56,BE$4),0)</f>
        <v>0</v>
      </c>
      <c r="BF56" s="416" t="str">
        <f t="shared" si="52"/>
        <v/>
      </c>
      <c r="BG56" s="388">
        <f>IF($AW56=BG$4,COUNTIFS($AV$8:$AV56,BG$3,$AW$8:$AW56,BG$4),0)</f>
        <v>0</v>
      </c>
      <c r="BH56" s="416" t="str">
        <f t="shared" si="53"/>
        <v/>
      </c>
      <c r="BI56" s="388">
        <f>IF($AW56=BI$3,COUNTIF($AW$8:$AW56,BI$3),0)</f>
        <v>0</v>
      </c>
      <c r="BJ56" s="416" t="str">
        <f t="shared" si="54"/>
        <v/>
      </c>
      <c r="BK56" s="388">
        <f>IF($AW56=BK$3,COUNTIF($AW$8:$AW56,BK$3),0)</f>
        <v>0</v>
      </c>
      <c r="BL56" s="416" t="str">
        <f t="shared" si="55"/>
        <v/>
      </c>
      <c r="BM56" s="388">
        <f>IF($AW56&lt;&gt;BM$3,COUNTIF($AW$8:$AW56,"&lt;&gt;"&amp;BM$3),0)</f>
        <v>0</v>
      </c>
      <c r="BN56" s="416" t="str">
        <f t="shared" si="56"/>
        <v/>
      </c>
      <c r="BO56" s="388">
        <f>IF($AW56=BO$3,COUNTIF($AW$8:$AW56,BO$3),0)</f>
        <v>0</v>
      </c>
      <c r="BP56" s="416" t="str">
        <f t="shared" si="57"/>
        <v/>
      </c>
      <c r="BQ56" s="381"/>
      <c r="BR56" s="381"/>
    </row>
    <row r="57" spans="1:70" ht="15" customHeight="1">
      <c r="A57" s="1497"/>
      <c r="B57" s="1498"/>
      <c r="C57" s="1499"/>
      <c r="D57" s="2253" t="str">
        <f t="shared" si="72"/>
        <v>全職種</v>
      </c>
      <c r="E57" s="2254"/>
      <c r="F57" s="2251"/>
      <c r="G57" s="2252"/>
      <c r="H57" s="2252"/>
      <c r="I57" s="860" t="str">
        <f t="shared" si="73"/>
        <v/>
      </c>
      <c r="J57" s="852" t="str">
        <f t="shared" si="58"/>
        <v/>
      </c>
      <c r="K57" s="1075"/>
      <c r="L57" s="898" t="str">
        <f t="shared" si="59"/>
        <v/>
      </c>
      <c r="M57" s="617">
        <f t="shared" si="60"/>
        <v>0</v>
      </c>
      <c r="N57" s="2376"/>
      <c r="O57" s="2377"/>
      <c r="P57" s="230"/>
      <c r="Q57" s="381"/>
      <c r="R57" s="381"/>
      <c r="S57" s="914"/>
      <c r="T57" s="539" t="str">
        <f t="shared" si="74"/>
        <v>全職種</v>
      </c>
      <c r="U57" s="515">
        <f t="shared" si="62"/>
        <v>0</v>
      </c>
      <c r="V57" s="539">
        <v>2</v>
      </c>
      <c r="W57" s="539" t="b">
        <f t="shared" si="63"/>
        <v>0</v>
      </c>
      <c r="X57" s="520" t="b">
        <f t="shared" ca="1" si="64"/>
        <v>0</v>
      </c>
      <c r="Y57" s="543" t="b">
        <f>COUNTIF($AC$15:AC56,AC57)+COUNTIF(AC58:$AC$69,AC57)-IF(AND(ISNUMBER(Z57),Z57=AC57),1,0)=0</f>
        <v>0</v>
      </c>
      <c r="Z57" s="547" t="s">
        <v>801</v>
      </c>
      <c r="AA57" s="547" t="s">
        <v>801</v>
      </c>
      <c r="AB57" s="547" t="s">
        <v>801</v>
      </c>
      <c r="AC57" s="536">
        <f t="shared" si="65"/>
        <v>0</v>
      </c>
      <c r="AD57" s="520" t="b">
        <f t="shared" si="66"/>
        <v>0</v>
      </c>
      <c r="AE57" s="500" t="b">
        <f t="shared" si="67"/>
        <v>0</v>
      </c>
      <c r="AF57" s="539" t="str">
        <f t="shared" si="68"/>
        <v/>
      </c>
      <c r="AG57" s="547">
        <f t="shared" si="69"/>
        <v>0</v>
      </c>
      <c r="AH57" s="529">
        <v>2</v>
      </c>
      <c r="AI57" s="418">
        <f t="shared" si="70"/>
        <v>2</v>
      </c>
      <c r="AJ57" s="420">
        <f t="shared" si="71"/>
        <v>0</v>
      </c>
      <c r="AP57" s="234"/>
      <c r="AQ57" s="240"/>
      <c r="AR57" s="240"/>
      <c r="AS57" s="240"/>
      <c r="AT57" s="388">
        <f t="shared" si="48"/>
        <v>50</v>
      </c>
      <c r="AU57" s="1081" t="str">
        <f>AT57&amp;" "&amp;IF(AW57&lt;&gt;"-",【様式2】職員名簿!B89&amp;"/"&amp;AV57&amp;"/"&amp;AW57,"")</f>
        <v xml:space="preserve">50 </v>
      </c>
      <c r="AV57" s="1081">
        <f>【様式2】職員名簿!E89</f>
        <v>0</v>
      </c>
      <c r="AW57" s="1081" t="str">
        <f>IF(【様式2】職員名簿!J89="エラー","-",IF(AND(【様式2】職員名簿!C89=$AW$3,【様式2】職員名簿!J89=$AW$4),$AW$3,【様式2】職員名簿!J89))</f>
        <v>-</v>
      </c>
      <c r="AX57" s="392">
        <f>IF($AV57="常勤",$AM$2,IF($AV57="非常勤",【様式2】職員名簿!G89,0))</f>
        <v>0</v>
      </c>
      <c r="AY57" s="415">
        <f>IF($AW57=AY$3,COUNTIF($AW$8:$AW57,AY$3),0)</f>
        <v>0</v>
      </c>
      <c r="AZ57" s="416" t="str">
        <f t="shared" si="49"/>
        <v/>
      </c>
      <c r="BA57" s="388">
        <f>IF(OR($AW57=BA$3,$AW57=BA$4),COUNTIF($AW$8:$AW57,BA$3)+COUNTIF($AW$8:$AW57,BA$4),0)</f>
        <v>0</v>
      </c>
      <c r="BB57" s="416" t="str">
        <f t="shared" si="50"/>
        <v/>
      </c>
      <c r="BC57" s="418">
        <f>IF($AW57=BC$3,COUNTIF($AW$8:$AW57,BC$3),0)</f>
        <v>0</v>
      </c>
      <c r="BD57" s="416" t="str">
        <f t="shared" si="51"/>
        <v/>
      </c>
      <c r="BE57" s="388">
        <f>IF(OR($AW57=BE$3,$AW57=BE$4),COUNTIF($AW$8:$AW57,BE$3)+COUNTIF($AW$8:$AW57,BE$4),0)</f>
        <v>0</v>
      </c>
      <c r="BF57" s="416" t="str">
        <f t="shared" si="52"/>
        <v/>
      </c>
      <c r="BG57" s="388">
        <f>IF($AW57=BG$4,COUNTIFS($AV$8:$AV57,BG$3,$AW$8:$AW57,BG$4),0)</f>
        <v>0</v>
      </c>
      <c r="BH57" s="416" t="str">
        <f t="shared" si="53"/>
        <v/>
      </c>
      <c r="BI57" s="388">
        <f>IF($AW57=BI$3,COUNTIF($AW$8:$AW57,BI$3),0)</f>
        <v>0</v>
      </c>
      <c r="BJ57" s="416" t="str">
        <f t="shared" si="54"/>
        <v/>
      </c>
      <c r="BK57" s="388">
        <f>IF($AW57=BK$3,COUNTIF($AW$8:$AW57,BK$3),0)</f>
        <v>0</v>
      </c>
      <c r="BL57" s="416" t="str">
        <f t="shared" si="55"/>
        <v/>
      </c>
      <c r="BM57" s="388">
        <f>IF($AW57&lt;&gt;BM$3,COUNTIF($AW$8:$AW57,"&lt;&gt;"&amp;BM$3),0)</f>
        <v>0</v>
      </c>
      <c r="BN57" s="416" t="str">
        <f t="shared" si="56"/>
        <v/>
      </c>
      <c r="BO57" s="388">
        <f>IF($AW57=BO$3,COUNTIF($AW$8:$AW57,BO$3),0)</f>
        <v>0</v>
      </c>
      <c r="BP57" s="416" t="str">
        <f t="shared" si="57"/>
        <v/>
      </c>
      <c r="BQ57" s="381"/>
      <c r="BR57" s="381"/>
    </row>
    <row r="58" spans="1:70" ht="15" customHeight="1">
      <c r="A58" s="1497"/>
      <c r="B58" s="1498"/>
      <c r="C58" s="1499"/>
      <c r="D58" s="2253" t="str">
        <f t="shared" si="72"/>
        <v>全職種</v>
      </c>
      <c r="E58" s="2254"/>
      <c r="F58" s="2251"/>
      <c r="G58" s="2252"/>
      <c r="H58" s="2252"/>
      <c r="I58" s="860" t="str">
        <f t="shared" si="73"/>
        <v/>
      </c>
      <c r="J58" s="852" t="str">
        <f t="shared" si="58"/>
        <v/>
      </c>
      <c r="K58" s="1075"/>
      <c r="L58" s="898" t="str">
        <f t="shared" si="59"/>
        <v/>
      </c>
      <c r="M58" s="617">
        <f t="shared" si="60"/>
        <v>0</v>
      </c>
      <c r="N58" s="2376"/>
      <c r="O58" s="2377"/>
      <c r="P58" s="230"/>
      <c r="Q58" s="381"/>
      <c r="R58" s="381"/>
      <c r="S58" s="914"/>
      <c r="T58" s="539" t="str">
        <f t="shared" si="74"/>
        <v>全職種</v>
      </c>
      <c r="U58" s="515">
        <f t="shared" si="62"/>
        <v>0</v>
      </c>
      <c r="V58" s="539">
        <v>2</v>
      </c>
      <c r="W58" s="539" t="b">
        <f t="shared" si="63"/>
        <v>0</v>
      </c>
      <c r="X58" s="520" t="b">
        <f t="shared" ca="1" si="64"/>
        <v>0</v>
      </c>
      <c r="Y58" s="543" t="b">
        <f>COUNTIF($AC$15:AC57,AC58)+COUNTIF(AC59:$AC$69,AC58)-IF(AND(ISNUMBER(Z58),Z58=AC58),1,0)=0</f>
        <v>0</v>
      </c>
      <c r="Z58" s="547" t="s">
        <v>801</v>
      </c>
      <c r="AA58" s="547" t="s">
        <v>801</v>
      </c>
      <c r="AB58" s="547" t="s">
        <v>801</v>
      </c>
      <c r="AC58" s="536">
        <f t="shared" si="65"/>
        <v>0</v>
      </c>
      <c r="AD58" s="520" t="b">
        <f t="shared" si="66"/>
        <v>0</v>
      </c>
      <c r="AE58" s="500" t="b">
        <f t="shared" si="67"/>
        <v>0</v>
      </c>
      <c r="AF58" s="539" t="str">
        <f t="shared" si="68"/>
        <v/>
      </c>
      <c r="AG58" s="547">
        <f t="shared" si="69"/>
        <v>0</v>
      </c>
      <c r="AH58" s="529">
        <v>2</v>
      </c>
      <c r="AI58" s="418">
        <f t="shared" si="70"/>
        <v>2</v>
      </c>
      <c r="AJ58" s="420">
        <f t="shared" si="71"/>
        <v>0</v>
      </c>
      <c r="AL58" s="386"/>
      <c r="AP58" s="240"/>
      <c r="AQ58" s="240"/>
      <c r="AR58" s="240"/>
      <c r="AS58" s="240"/>
      <c r="AT58" s="388">
        <f t="shared" si="48"/>
        <v>51</v>
      </c>
      <c r="AU58" s="1081" t="str">
        <f>AT58&amp;" "&amp;IF(AW58&lt;&gt;"-",【様式2】職員名簿!B90&amp;"/"&amp;AV58&amp;"/"&amp;AW58,"")</f>
        <v xml:space="preserve">51 </v>
      </c>
      <c r="AV58" s="1081">
        <f>【様式2】職員名簿!E90</f>
        <v>0</v>
      </c>
      <c r="AW58" s="1081" t="str">
        <f>IF(【様式2】職員名簿!J90="エラー","-",IF(AND(【様式2】職員名簿!C90=$AW$3,【様式2】職員名簿!J90=$AW$4),$AW$3,【様式2】職員名簿!J90))</f>
        <v>-</v>
      </c>
      <c r="AX58" s="392">
        <f>IF($AV58="常勤",$AM$2,IF($AV58="非常勤",【様式2】職員名簿!G90,0))</f>
        <v>0</v>
      </c>
      <c r="AY58" s="415">
        <f>IF($AW58=AY$3,COUNTIF($AW$8:$AW58,AY$3),0)</f>
        <v>0</v>
      </c>
      <c r="AZ58" s="416" t="str">
        <f t="shared" si="49"/>
        <v/>
      </c>
      <c r="BA58" s="388">
        <f>IF(OR($AW58=BA$3,$AW58=BA$4),COUNTIF($AW$8:$AW58,BA$3)+COUNTIF($AW$8:$AW58,BA$4),0)</f>
        <v>0</v>
      </c>
      <c r="BB58" s="416" t="str">
        <f t="shared" si="50"/>
        <v/>
      </c>
      <c r="BC58" s="418">
        <f>IF($AW58=BC$3,COUNTIF($AW$8:$AW58,BC$3),0)</f>
        <v>0</v>
      </c>
      <c r="BD58" s="416" t="str">
        <f t="shared" si="51"/>
        <v/>
      </c>
      <c r="BE58" s="388">
        <f>IF(OR($AW58=BE$3,$AW58=BE$4),COUNTIF($AW$8:$AW58,BE$3)+COUNTIF($AW$8:$AW58,BE$4),0)</f>
        <v>0</v>
      </c>
      <c r="BF58" s="416" t="str">
        <f t="shared" si="52"/>
        <v/>
      </c>
      <c r="BG58" s="388">
        <f>IF($AW58=BG$4,COUNTIFS($AV$8:$AV58,BG$3,$AW$8:$AW58,BG$4),0)</f>
        <v>0</v>
      </c>
      <c r="BH58" s="416" t="str">
        <f t="shared" si="53"/>
        <v/>
      </c>
      <c r="BI58" s="388">
        <f>IF($AW58=BI$3,COUNTIF($AW$8:$AW58,BI$3),0)</f>
        <v>0</v>
      </c>
      <c r="BJ58" s="416" t="str">
        <f t="shared" si="54"/>
        <v/>
      </c>
      <c r="BK58" s="388">
        <f>IF($AW58=BK$3,COUNTIF($AW$8:$AW58,BK$3),0)</f>
        <v>0</v>
      </c>
      <c r="BL58" s="416" t="str">
        <f t="shared" si="55"/>
        <v/>
      </c>
      <c r="BM58" s="388">
        <f>IF($AW58&lt;&gt;BM$3,COUNTIF($AW$8:$AW58,"&lt;&gt;"&amp;BM$3),0)</f>
        <v>0</v>
      </c>
      <c r="BN58" s="416" t="str">
        <f t="shared" si="56"/>
        <v/>
      </c>
      <c r="BO58" s="388">
        <f>IF($AW58=BO$3,COUNTIF($AW$8:$AW58,BO$3),0)</f>
        <v>0</v>
      </c>
      <c r="BP58" s="416" t="str">
        <f t="shared" si="57"/>
        <v/>
      </c>
      <c r="BQ58" s="381"/>
      <c r="BR58" s="381"/>
    </row>
    <row r="59" spans="1:70" ht="15" customHeight="1">
      <c r="A59" s="1497"/>
      <c r="B59" s="1498"/>
      <c r="C59" s="1499"/>
      <c r="D59" s="2253" t="str">
        <f t="shared" si="72"/>
        <v>全職種</v>
      </c>
      <c r="E59" s="2254"/>
      <c r="F59" s="2251"/>
      <c r="G59" s="2252"/>
      <c r="H59" s="2252"/>
      <c r="I59" s="860" t="str">
        <f t="shared" si="73"/>
        <v/>
      </c>
      <c r="J59" s="852" t="str">
        <f t="shared" si="58"/>
        <v/>
      </c>
      <c r="K59" s="1075"/>
      <c r="L59" s="898" t="str">
        <f t="shared" si="59"/>
        <v/>
      </c>
      <c r="M59" s="617">
        <f t="shared" si="60"/>
        <v>0</v>
      </c>
      <c r="N59" s="2376"/>
      <c r="O59" s="2377"/>
      <c r="P59" s="230"/>
      <c r="Q59" s="381"/>
      <c r="R59" s="381"/>
      <c r="S59" s="914"/>
      <c r="T59" s="539" t="str">
        <f t="shared" si="74"/>
        <v>全職種</v>
      </c>
      <c r="U59" s="515">
        <f t="shared" si="62"/>
        <v>0</v>
      </c>
      <c r="V59" s="539">
        <v>2</v>
      </c>
      <c r="W59" s="539" t="b">
        <f t="shared" si="63"/>
        <v>0</v>
      </c>
      <c r="X59" s="520" t="b">
        <f t="shared" ca="1" si="64"/>
        <v>0</v>
      </c>
      <c r="Y59" s="543" t="b">
        <f>COUNTIF($AC$15:AC58,AC59)+COUNTIF(AC60:$AC$69,AC59)-IF(AND(ISNUMBER(Z59),Z59=AC59),1,0)=0</f>
        <v>0</v>
      </c>
      <c r="Z59" s="547" t="s">
        <v>801</v>
      </c>
      <c r="AA59" s="547" t="s">
        <v>801</v>
      </c>
      <c r="AB59" s="547" t="s">
        <v>801</v>
      </c>
      <c r="AC59" s="536">
        <f t="shared" si="65"/>
        <v>0</v>
      </c>
      <c r="AD59" s="520" t="b">
        <f t="shared" si="66"/>
        <v>0</v>
      </c>
      <c r="AE59" s="500" t="b">
        <f t="shared" si="67"/>
        <v>0</v>
      </c>
      <c r="AF59" s="539" t="str">
        <f t="shared" si="68"/>
        <v/>
      </c>
      <c r="AG59" s="547">
        <f t="shared" si="69"/>
        <v>0</v>
      </c>
      <c r="AH59" s="529">
        <v>2</v>
      </c>
      <c r="AI59" s="418">
        <f t="shared" si="70"/>
        <v>2</v>
      </c>
      <c r="AJ59" s="420">
        <f t="shared" si="71"/>
        <v>0</v>
      </c>
      <c r="AL59" s="386"/>
      <c r="AM59" s="386"/>
      <c r="AP59" s="240"/>
      <c r="AQ59" s="240"/>
      <c r="AR59" s="240"/>
      <c r="AS59" s="240"/>
      <c r="AT59" s="388">
        <f t="shared" si="48"/>
        <v>52</v>
      </c>
      <c r="AU59" s="1081" t="str">
        <f>AT59&amp;" "&amp;IF(AW59&lt;&gt;"-",【様式2】職員名簿!B91&amp;"/"&amp;AV59&amp;"/"&amp;AW59,"")</f>
        <v xml:space="preserve">52 </v>
      </c>
      <c r="AV59" s="1081">
        <f>【様式2】職員名簿!E91</f>
        <v>0</v>
      </c>
      <c r="AW59" s="1081" t="str">
        <f>IF(【様式2】職員名簿!J91="エラー","-",IF(AND(【様式2】職員名簿!C91=$AW$3,【様式2】職員名簿!J91=$AW$4),$AW$3,【様式2】職員名簿!J91))</f>
        <v>-</v>
      </c>
      <c r="AX59" s="392">
        <f>IF($AV59="常勤",$AM$2,IF($AV59="非常勤",【様式2】職員名簿!G91,0))</f>
        <v>0</v>
      </c>
      <c r="AY59" s="415">
        <f>IF($AW59=AY$3,COUNTIF($AW$8:$AW59,AY$3),0)</f>
        <v>0</v>
      </c>
      <c r="AZ59" s="416" t="str">
        <f t="shared" si="49"/>
        <v/>
      </c>
      <c r="BA59" s="388">
        <f>IF(OR($AW59=BA$3,$AW59=BA$4),COUNTIF($AW$8:$AW59,BA$3)+COUNTIF($AW$8:$AW59,BA$4),0)</f>
        <v>0</v>
      </c>
      <c r="BB59" s="416" t="str">
        <f t="shared" si="50"/>
        <v/>
      </c>
      <c r="BC59" s="418">
        <f>IF($AW59=BC$3,COUNTIF($AW$8:$AW59,BC$3),0)</f>
        <v>0</v>
      </c>
      <c r="BD59" s="416" t="str">
        <f t="shared" si="51"/>
        <v/>
      </c>
      <c r="BE59" s="388">
        <f>IF(OR($AW59=BE$3,$AW59=BE$4),COUNTIF($AW$8:$AW59,BE$3)+COUNTIF($AW$8:$AW59,BE$4),0)</f>
        <v>0</v>
      </c>
      <c r="BF59" s="416" t="str">
        <f t="shared" si="52"/>
        <v/>
      </c>
      <c r="BG59" s="388">
        <f>IF($AW59=BG$4,COUNTIFS($AV$8:$AV59,BG$3,$AW$8:$AW59,BG$4),0)</f>
        <v>0</v>
      </c>
      <c r="BH59" s="416" t="str">
        <f t="shared" si="53"/>
        <v/>
      </c>
      <c r="BI59" s="388">
        <f>IF($AW59=BI$3,COUNTIF($AW$8:$AW59,BI$3),0)</f>
        <v>0</v>
      </c>
      <c r="BJ59" s="416" t="str">
        <f t="shared" si="54"/>
        <v/>
      </c>
      <c r="BK59" s="388">
        <f>IF($AW59=BK$3,COUNTIF($AW$8:$AW59,BK$3),0)</f>
        <v>0</v>
      </c>
      <c r="BL59" s="416" t="str">
        <f t="shared" si="55"/>
        <v/>
      </c>
      <c r="BM59" s="388">
        <f>IF($AW59&lt;&gt;BM$3,COUNTIF($AW$8:$AW59,"&lt;&gt;"&amp;BM$3),0)</f>
        <v>0</v>
      </c>
      <c r="BN59" s="416" t="str">
        <f t="shared" si="56"/>
        <v/>
      </c>
      <c r="BO59" s="388">
        <f>IF($AW59=BO$3,COUNTIF($AW$8:$AW59,BO$3),0)</f>
        <v>0</v>
      </c>
      <c r="BP59" s="416" t="str">
        <f t="shared" si="57"/>
        <v/>
      </c>
      <c r="BQ59" s="381"/>
      <c r="BR59" s="381"/>
    </row>
    <row r="60" spans="1:70" ht="15" customHeight="1">
      <c r="A60" s="1500"/>
      <c r="B60" s="1501"/>
      <c r="C60" s="1502"/>
      <c r="D60" s="2401" t="str">
        <f t="shared" si="72"/>
        <v>全職種</v>
      </c>
      <c r="E60" s="2402"/>
      <c r="F60" s="2362"/>
      <c r="G60" s="2363"/>
      <c r="H60" s="2363"/>
      <c r="I60" s="874" t="str">
        <f t="shared" si="73"/>
        <v/>
      </c>
      <c r="J60" s="856" t="str">
        <f t="shared" si="58"/>
        <v/>
      </c>
      <c r="K60" s="1076"/>
      <c r="L60" s="899" t="str">
        <f t="shared" si="59"/>
        <v/>
      </c>
      <c r="M60" s="618">
        <f t="shared" si="60"/>
        <v>0</v>
      </c>
      <c r="N60" s="2376"/>
      <c r="O60" s="2377"/>
      <c r="P60" s="230"/>
      <c r="Q60" s="381"/>
      <c r="R60" s="381"/>
      <c r="S60" s="914"/>
      <c r="T60" s="539" t="str">
        <f t="shared" si="74"/>
        <v>全職種</v>
      </c>
      <c r="U60" s="515">
        <f t="shared" si="62"/>
        <v>0</v>
      </c>
      <c r="V60" s="539">
        <v>2</v>
      </c>
      <c r="W60" s="539" t="b">
        <f t="shared" si="63"/>
        <v>0</v>
      </c>
      <c r="X60" s="520" t="b">
        <f t="shared" ca="1" si="64"/>
        <v>0</v>
      </c>
      <c r="Y60" s="543" t="b">
        <f>COUNTIF($AC$15:AC59,AC60)+COUNTIF(AC61:$AC$69,AC60)-IF(AND(ISNUMBER(Z60),Z60=AC60),1,0)=0</f>
        <v>0</v>
      </c>
      <c r="Z60" s="547" t="s">
        <v>801</v>
      </c>
      <c r="AA60" s="547" t="s">
        <v>801</v>
      </c>
      <c r="AB60" s="547" t="s">
        <v>801</v>
      </c>
      <c r="AC60" s="536">
        <f t="shared" si="65"/>
        <v>0</v>
      </c>
      <c r="AD60" s="520" t="b">
        <f t="shared" si="66"/>
        <v>0</v>
      </c>
      <c r="AE60" s="500" t="b">
        <f t="shared" si="67"/>
        <v>0</v>
      </c>
      <c r="AF60" s="539" t="str">
        <f t="shared" si="68"/>
        <v/>
      </c>
      <c r="AG60" s="547">
        <f t="shared" si="69"/>
        <v>0</v>
      </c>
      <c r="AH60" s="529">
        <v>2</v>
      </c>
      <c r="AI60" s="418">
        <f t="shared" si="70"/>
        <v>2</v>
      </c>
      <c r="AJ60" s="420">
        <f t="shared" si="71"/>
        <v>0</v>
      </c>
      <c r="AL60" s="386"/>
      <c r="AM60" s="386"/>
      <c r="AP60" s="240"/>
      <c r="AR60" s="240"/>
      <c r="AS60" s="240"/>
      <c r="AT60" s="388">
        <f t="shared" si="48"/>
        <v>53</v>
      </c>
      <c r="AU60" s="1081" t="str">
        <f>AT60&amp;" "&amp;IF(AW60&lt;&gt;"-",【様式2】職員名簿!B92&amp;"/"&amp;AV60&amp;"/"&amp;AW60,"")</f>
        <v xml:space="preserve">53 </v>
      </c>
      <c r="AV60" s="1081">
        <f>【様式2】職員名簿!E92</f>
        <v>0</v>
      </c>
      <c r="AW60" s="1081" t="str">
        <f>IF(【様式2】職員名簿!J92="エラー","-",IF(AND(【様式2】職員名簿!C92=$AW$3,【様式2】職員名簿!J92=$AW$4),$AW$3,【様式2】職員名簿!J92))</f>
        <v>-</v>
      </c>
      <c r="AX60" s="392">
        <f>IF($AV60="常勤",$AM$2,IF($AV60="非常勤",【様式2】職員名簿!G92,0))</f>
        <v>0</v>
      </c>
      <c r="AY60" s="415">
        <f>IF($AW60=AY$3,COUNTIF($AW$8:$AW60,AY$3),0)</f>
        <v>0</v>
      </c>
      <c r="AZ60" s="416" t="str">
        <f t="shared" si="49"/>
        <v/>
      </c>
      <c r="BA60" s="388">
        <f>IF(OR($AW60=BA$3,$AW60=BA$4),COUNTIF($AW$8:$AW60,BA$3)+COUNTIF($AW$8:$AW60,BA$4),0)</f>
        <v>0</v>
      </c>
      <c r="BB60" s="416" t="str">
        <f t="shared" si="50"/>
        <v/>
      </c>
      <c r="BC60" s="418">
        <f>IF($AW60=BC$3,COUNTIF($AW$8:$AW60,BC$3),0)</f>
        <v>0</v>
      </c>
      <c r="BD60" s="416" t="str">
        <f t="shared" si="51"/>
        <v/>
      </c>
      <c r="BE60" s="388">
        <f>IF(OR($AW60=BE$3,$AW60=BE$4),COUNTIF($AW$8:$AW60,BE$3)+COUNTIF($AW$8:$AW60,BE$4),0)</f>
        <v>0</v>
      </c>
      <c r="BF60" s="416" t="str">
        <f t="shared" si="52"/>
        <v/>
      </c>
      <c r="BG60" s="388">
        <f>IF($AW60=BG$4,COUNTIFS($AV$8:$AV60,BG$3,$AW$8:$AW60,BG$4),0)</f>
        <v>0</v>
      </c>
      <c r="BH60" s="416" t="str">
        <f t="shared" si="53"/>
        <v/>
      </c>
      <c r="BI60" s="388">
        <f>IF($AW60=BI$3,COUNTIF($AW$8:$AW60,BI$3),0)</f>
        <v>0</v>
      </c>
      <c r="BJ60" s="416" t="str">
        <f t="shared" si="54"/>
        <v/>
      </c>
      <c r="BK60" s="388">
        <f>IF($AW60=BK$3,COUNTIF($AW$8:$AW60,BK$3),0)</f>
        <v>0</v>
      </c>
      <c r="BL60" s="416" t="str">
        <f t="shared" si="55"/>
        <v/>
      </c>
      <c r="BM60" s="388">
        <f>IF($AW60&lt;&gt;BM$3,COUNTIF($AW$8:$AW60,"&lt;&gt;"&amp;BM$3),0)</f>
        <v>0</v>
      </c>
      <c r="BN60" s="416" t="str">
        <f t="shared" si="56"/>
        <v/>
      </c>
      <c r="BO60" s="388">
        <f>IF($AW60=BO$3,COUNTIF($AW$8:$AW60,BO$3),0)</f>
        <v>0</v>
      </c>
      <c r="BP60" s="416" t="str">
        <f t="shared" si="57"/>
        <v/>
      </c>
      <c r="BQ60" s="381"/>
      <c r="BR60" s="381"/>
    </row>
    <row r="61" spans="1:70" ht="15" customHeight="1">
      <c r="A61" s="1416" t="s">
        <v>786</v>
      </c>
      <c r="B61" s="2234"/>
      <c r="C61" s="2235"/>
      <c r="D61" s="2403" t="str">
        <f t="shared" ref="D61:D67" si="75">T61</f>
        <v>全職種</v>
      </c>
      <c r="E61" s="2404"/>
      <c r="F61" s="2371"/>
      <c r="G61" s="2372"/>
      <c r="H61" s="2372"/>
      <c r="I61" s="875" t="str">
        <f t="shared" si="73"/>
        <v/>
      </c>
      <c r="J61" s="876" t="str">
        <f t="shared" si="58"/>
        <v/>
      </c>
      <c r="K61" s="1077"/>
      <c r="L61" s="900" t="str">
        <f t="shared" si="59"/>
        <v/>
      </c>
      <c r="M61" s="619">
        <f t="shared" si="60"/>
        <v>0</v>
      </c>
      <c r="N61" s="2376">
        <f>SUM(M61:M67)</f>
        <v>0</v>
      </c>
      <c r="O61" s="2377"/>
      <c r="P61" s="230"/>
      <c r="Q61" s="381"/>
      <c r="R61" s="381"/>
      <c r="S61" s="914"/>
      <c r="T61" s="539" t="str">
        <f t="shared" si="74"/>
        <v>全職種</v>
      </c>
      <c r="U61" s="515">
        <f t="shared" si="62"/>
        <v>0</v>
      </c>
      <c r="V61" s="539">
        <v>2</v>
      </c>
      <c r="W61" s="539" t="b">
        <f t="shared" ref="W61:W68" si="76">AND(ISTEXT(B61),ISTEXT(F61))</f>
        <v>0</v>
      </c>
      <c r="X61" s="520" t="b">
        <f t="shared" ca="1" si="64"/>
        <v>0</v>
      </c>
      <c r="Y61" s="543" t="b">
        <f>COUNTIF($AC$15:AC60,AC61)+COUNTIF(AC62:$AC$69,AC61)-IF(AND(ISNUMBER(Z61),Z61=AC61),1,0)=0</f>
        <v>0</v>
      </c>
      <c r="Z61" s="547" t="s">
        <v>801</v>
      </c>
      <c r="AA61" s="547" t="s">
        <v>801</v>
      </c>
      <c r="AB61" s="547" t="s">
        <v>801</v>
      </c>
      <c r="AC61" s="536">
        <f t="shared" si="65"/>
        <v>0</v>
      </c>
      <c r="AD61" s="520" t="b">
        <f t="shared" si="66"/>
        <v>0</v>
      </c>
      <c r="AE61" s="500" t="b">
        <f t="shared" si="67"/>
        <v>0</v>
      </c>
      <c r="AF61" s="539" t="str">
        <f t="shared" si="68"/>
        <v/>
      </c>
      <c r="AG61" s="547">
        <f t="shared" si="69"/>
        <v>0</v>
      </c>
      <c r="AH61" s="529">
        <v>2</v>
      </c>
      <c r="AI61" s="418">
        <f t="shared" si="70"/>
        <v>2</v>
      </c>
      <c r="AJ61" s="420">
        <f t="shared" si="71"/>
        <v>0</v>
      </c>
      <c r="AL61" s="229"/>
      <c r="AM61" s="386"/>
      <c r="AO61" s="386"/>
      <c r="AR61" s="240"/>
      <c r="AS61" s="240"/>
      <c r="AT61" s="388">
        <f t="shared" si="48"/>
        <v>54</v>
      </c>
      <c r="AU61" s="1081" t="str">
        <f>AT61&amp;" "&amp;IF(AW61&lt;&gt;"-",【様式2】職員名簿!B93&amp;"/"&amp;AV61&amp;"/"&amp;AW61,"")</f>
        <v xml:space="preserve">54 </v>
      </c>
      <c r="AV61" s="1081">
        <f>【様式2】職員名簿!E93</f>
        <v>0</v>
      </c>
      <c r="AW61" s="1081" t="str">
        <f>IF(【様式2】職員名簿!J93="エラー","-",IF(AND(【様式2】職員名簿!C93=$AW$3,【様式2】職員名簿!J93=$AW$4),$AW$3,【様式2】職員名簿!J93))</f>
        <v>-</v>
      </c>
      <c r="AX61" s="392">
        <f>IF($AV61="常勤",$AM$2,IF($AV61="非常勤",【様式2】職員名簿!G93,0))</f>
        <v>0</v>
      </c>
      <c r="AY61" s="415">
        <f>IF($AW61=AY$3,COUNTIF($AW$8:$AW61,AY$3),0)</f>
        <v>0</v>
      </c>
      <c r="AZ61" s="416" t="str">
        <f t="shared" si="49"/>
        <v/>
      </c>
      <c r="BA61" s="388">
        <f>IF(OR($AW61=BA$3,$AW61=BA$4),COUNTIF($AW$8:$AW61,BA$3)+COUNTIF($AW$8:$AW61,BA$4),0)</f>
        <v>0</v>
      </c>
      <c r="BB61" s="416" t="str">
        <f t="shared" si="50"/>
        <v/>
      </c>
      <c r="BC61" s="418">
        <f>IF($AW61=BC$3,COUNTIF($AW$8:$AW61,BC$3),0)</f>
        <v>0</v>
      </c>
      <c r="BD61" s="416" t="str">
        <f t="shared" si="51"/>
        <v/>
      </c>
      <c r="BE61" s="388">
        <f>IF(OR($AW61=BE$3,$AW61=BE$4),COUNTIF($AW$8:$AW61,BE$3)+COUNTIF($AW$8:$AW61,BE$4),0)</f>
        <v>0</v>
      </c>
      <c r="BF61" s="416" t="str">
        <f t="shared" si="52"/>
        <v/>
      </c>
      <c r="BG61" s="388">
        <f>IF($AW61=BG$4,COUNTIFS($AV$8:$AV61,BG$3,$AW$8:$AW61,BG$4),0)</f>
        <v>0</v>
      </c>
      <c r="BH61" s="416" t="str">
        <f t="shared" si="53"/>
        <v/>
      </c>
      <c r="BI61" s="388">
        <f>IF($AW61=BI$3,COUNTIF($AW$8:$AW61,BI$3),0)</f>
        <v>0</v>
      </c>
      <c r="BJ61" s="416" t="str">
        <f t="shared" si="54"/>
        <v/>
      </c>
      <c r="BK61" s="388">
        <f>IF($AW61=BK$3,COUNTIF($AW$8:$AW61,BK$3),0)</f>
        <v>0</v>
      </c>
      <c r="BL61" s="416" t="str">
        <f t="shared" si="55"/>
        <v/>
      </c>
      <c r="BM61" s="388">
        <f>IF($AW61&lt;&gt;BM$3,COUNTIF($AW$8:$AW61,"&lt;&gt;"&amp;BM$3),0)</f>
        <v>0</v>
      </c>
      <c r="BN61" s="416" t="str">
        <f t="shared" si="56"/>
        <v/>
      </c>
      <c r="BO61" s="388">
        <f>IF($AW61=BO$3,COUNTIF($AW$8:$AW61,BO$3),0)</f>
        <v>0</v>
      </c>
      <c r="BP61" s="416" t="str">
        <f t="shared" si="57"/>
        <v/>
      </c>
      <c r="BQ61" s="381"/>
      <c r="BR61" s="381"/>
    </row>
    <row r="62" spans="1:70" ht="15" customHeight="1">
      <c r="A62" s="1418"/>
      <c r="B62" s="2232"/>
      <c r="C62" s="2233"/>
      <c r="D62" s="2253" t="str">
        <f t="shared" si="75"/>
        <v>全職種</v>
      </c>
      <c r="E62" s="2254"/>
      <c r="F62" s="2251"/>
      <c r="G62" s="2252"/>
      <c r="H62" s="2252"/>
      <c r="I62" s="860" t="str">
        <f t="shared" si="73"/>
        <v/>
      </c>
      <c r="J62" s="852" t="str">
        <f t="shared" si="58"/>
        <v/>
      </c>
      <c r="K62" s="1075"/>
      <c r="L62" s="898" t="str">
        <f t="shared" si="59"/>
        <v/>
      </c>
      <c r="M62" s="617">
        <f t="shared" si="60"/>
        <v>0</v>
      </c>
      <c r="N62" s="2376"/>
      <c r="O62" s="2377"/>
      <c r="P62" s="230"/>
      <c r="Q62" s="381"/>
      <c r="R62" s="381"/>
      <c r="S62" s="914"/>
      <c r="T62" s="539" t="str">
        <f t="shared" si="74"/>
        <v>全職種</v>
      </c>
      <c r="U62" s="515">
        <f t="shared" si="62"/>
        <v>0</v>
      </c>
      <c r="V62" s="539">
        <v>2</v>
      </c>
      <c r="W62" s="539" t="b">
        <f t="shared" si="76"/>
        <v>0</v>
      </c>
      <c r="X62" s="520" t="b">
        <f t="shared" ca="1" si="64"/>
        <v>0</v>
      </c>
      <c r="Y62" s="543" t="b">
        <f>COUNTIF($AC$15:AC61,AC62)+COUNTIF(AC63:$AC$69,AC62)-IF(AND(ISNUMBER(Z62),Z62=AC62),1,0)=0</f>
        <v>0</v>
      </c>
      <c r="Z62" s="547" t="s">
        <v>801</v>
      </c>
      <c r="AA62" s="547" t="s">
        <v>801</v>
      </c>
      <c r="AB62" s="547" t="s">
        <v>801</v>
      </c>
      <c r="AC62" s="536">
        <f t="shared" si="65"/>
        <v>0</v>
      </c>
      <c r="AD62" s="520" t="b">
        <f t="shared" si="66"/>
        <v>0</v>
      </c>
      <c r="AE62" s="500" t="b">
        <f t="shared" si="67"/>
        <v>0</v>
      </c>
      <c r="AF62" s="539" t="str">
        <f t="shared" si="68"/>
        <v/>
      </c>
      <c r="AG62" s="547">
        <f t="shared" si="69"/>
        <v>0</v>
      </c>
      <c r="AH62" s="529">
        <v>2</v>
      </c>
      <c r="AI62" s="418">
        <f t="shared" si="70"/>
        <v>2</v>
      </c>
      <c r="AJ62" s="420">
        <f t="shared" si="71"/>
        <v>0</v>
      </c>
      <c r="AL62" s="229"/>
      <c r="AM62" s="386"/>
      <c r="AN62" s="386"/>
      <c r="AO62" s="386"/>
      <c r="AR62" s="240"/>
      <c r="AS62" s="240"/>
      <c r="AT62" s="388">
        <f t="shared" si="48"/>
        <v>55</v>
      </c>
      <c r="AU62" s="1081" t="str">
        <f>AT62&amp;" "&amp;IF(AW62&lt;&gt;"-",【様式2】職員名簿!B94&amp;"/"&amp;AV62&amp;"/"&amp;AW62,"")</f>
        <v xml:space="preserve">55 </v>
      </c>
      <c r="AV62" s="1081">
        <f>【様式2】職員名簿!E94</f>
        <v>0</v>
      </c>
      <c r="AW62" s="1081" t="str">
        <f>IF(【様式2】職員名簿!J94="エラー","-",IF(AND(【様式2】職員名簿!C94=$AW$3,【様式2】職員名簿!J94=$AW$4),$AW$3,【様式2】職員名簿!J94))</f>
        <v>-</v>
      </c>
      <c r="AX62" s="392">
        <f>IF($AV62="常勤",$AM$2,IF($AV62="非常勤",【様式2】職員名簿!G94,0))</f>
        <v>0</v>
      </c>
      <c r="AY62" s="415">
        <f>IF($AW62=AY$3,COUNTIF($AW$8:$AW62,AY$3),0)</f>
        <v>0</v>
      </c>
      <c r="AZ62" s="416" t="str">
        <f t="shared" si="49"/>
        <v/>
      </c>
      <c r="BA62" s="388">
        <f>IF(OR($AW62=BA$3,$AW62=BA$4),COUNTIF($AW$8:$AW62,BA$3)+COUNTIF($AW$8:$AW62,BA$4),0)</f>
        <v>0</v>
      </c>
      <c r="BB62" s="416" t="str">
        <f t="shared" si="50"/>
        <v/>
      </c>
      <c r="BC62" s="418">
        <f>IF($AW62=BC$3,COUNTIF($AW$8:$AW62,BC$3),0)</f>
        <v>0</v>
      </c>
      <c r="BD62" s="416" t="str">
        <f t="shared" si="51"/>
        <v/>
      </c>
      <c r="BE62" s="388">
        <f>IF(OR($AW62=BE$3,$AW62=BE$4),COUNTIF($AW$8:$AW62,BE$3)+COUNTIF($AW$8:$AW62,BE$4),0)</f>
        <v>0</v>
      </c>
      <c r="BF62" s="416" t="str">
        <f t="shared" si="52"/>
        <v/>
      </c>
      <c r="BG62" s="388">
        <f>IF($AW62=BG$4,COUNTIFS($AV$8:$AV62,BG$3,$AW$8:$AW62,BG$4),0)</f>
        <v>0</v>
      </c>
      <c r="BH62" s="416" t="str">
        <f t="shared" si="53"/>
        <v/>
      </c>
      <c r="BI62" s="388">
        <f>IF($AW62=BI$3,COUNTIF($AW$8:$AW62,BI$3),0)</f>
        <v>0</v>
      </c>
      <c r="BJ62" s="416" t="str">
        <f t="shared" si="54"/>
        <v/>
      </c>
      <c r="BK62" s="388">
        <f>IF($AW62=BK$3,COUNTIF($AW$8:$AW62,BK$3),0)</f>
        <v>0</v>
      </c>
      <c r="BL62" s="416" t="str">
        <f t="shared" si="55"/>
        <v/>
      </c>
      <c r="BM62" s="388">
        <f>IF($AW62&lt;&gt;BM$3,COUNTIF($AW$8:$AW62,"&lt;&gt;"&amp;BM$3),0)</f>
        <v>0</v>
      </c>
      <c r="BN62" s="416" t="str">
        <f t="shared" si="56"/>
        <v/>
      </c>
      <c r="BO62" s="388">
        <f>IF($AW62=BO$3,COUNTIF($AW$8:$AW62,BO$3),0)</f>
        <v>0</v>
      </c>
      <c r="BP62" s="416" t="str">
        <f t="shared" si="57"/>
        <v/>
      </c>
      <c r="BQ62" s="381"/>
      <c r="BR62" s="381"/>
    </row>
    <row r="63" spans="1:70" ht="15" customHeight="1">
      <c r="A63" s="1418"/>
      <c r="B63" s="2232"/>
      <c r="C63" s="2233"/>
      <c r="D63" s="2253" t="str">
        <f t="shared" si="75"/>
        <v>全職種</v>
      </c>
      <c r="E63" s="2254"/>
      <c r="F63" s="2251"/>
      <c r="G63" s="2252"/>
      <c r="H63" s="2252"/>
      <c r="I63" s="860" t="str">
        <f t="shared" si="73"/>
        <v/>
      </c>
      <c r="J63" s="852" t="str">
        <f t="shared" si="58"/>
        <v/>
      </c>
      <c r="K63" s="1075"/>
      <c r="L63" s="898" t="str">
        <f t="shared" si="59"/>
        <v/>
      </c>
      <c r="M63" s="617">
        <f t="shared" si="60"/>
        <v>0</v>
      </c>
      <c r="N63" s="2376"/>
      <c r="O63" s="2377"/>
      <c r="P63" s="230"/>
      <c r="Q63" s="381"/>
      <c r="R63" s="381"/>
      <c r="S63" s="914"/>
      <c r="T63" s="539" t="str">
        <f t="shared" si="74"/>
        <v>全職種</v>
      </c>
      <c r="U63" s="515">
        <f t="shared" si="62"/>
        <v>0</v>
      </c>
      <c r="V63" s="539">
        <v>2</v>
      </c>
      <c r="W63" s="539" t="b">
        <f t="shared" si="76"/>
        <v>0</v>
      </c>
      <c r="X63" s="520" t="b">
        <f t="shared" ca="1" si="64"/>
        <v>0</v>
      </c>
      <c r="Y63" s="543" t="b">
        <f>COUNTIF($AC$15:AC62,AC63)+COUNTIF(AC64:$AC$69,AC63)-IF(AND(ISNUMBER(Z63),Z63=AC63),1,0)=0</f>
        <v>0</v>
      </c>
      <c r="Z63" s="547" t="s">
        <v>801</v>
      </c>
      <c r="AA63" s="547" t="s">
        <v>801</v>
      </c>
      <c r="AB63" s="547" t="s">
        <v>801</v>
      </c>
      <c r="AC63" s="536">
        <f t="shared" si="65"/>
        <v>0</v>
      </c>
      <c r="AD63" s="520" t="b">
        <f t="shared" si="66"/>
        <v>0</v>
      </c>
      <c r="AE63" s="500" t="b">
        <f t="shared" si="67"/>
        <v>0</v>
      </c>
      <c r="AF63" s="539" t="str">
        <f t="shared" si="68"/>
        <v/>
      </c>
      <c r="AG63" s="547">
        <f t="shared" si="69"/>
        <v>0</v>
      </c>
      <c r="AH63" s="529">
        <v>2</v>
      </c>
      <c r="AI63" s="418">
        <f t="shared" si="70"/>
        <v>2</v>
      </c>
      <c r="AJ63" s="420">
        <f t="shared" si="71"/>
        <v>0</v>
      </c>
      <c r="AL63" s="386"/>
      <c r="AM63" s="389"/>
      <c r="AN63" s="386"/>
      <c r="AO63" s="386"/>
      <c r="AR63" s="240"/>
      <c r="AS63" s="240"/>
      <c r="AT63" s="388">
        <f t="shared" si="48"/>
        <v>56</v>
      </c>
      <c r="AU63" s="1081" t="str">
        <f>AT63&amp;" "&amp;IF(AW63&lt;&gt;"-",【様式2】職員名簿!B95&amp;"/"&amp;AV63&amp;"/"&amp;AW63,"")</f>
        <v xml:space="preserve">56 </v>
      </c>
      <c r="AV63" s="1081">
        <f>【様式2】職員名簿!E95</f>
        <v>0</v>
      </c>
      <c r="AW63" s="1081" t="str">
        <f>IF(【様式2】職員名簿!J95="エラー","-",IF(AND(【様式2】職員名簿!C95=$AW$3,【様式2】職員名簿!J95=$AW$4),$AW$3,【様式2】職員名簿!J95))</f>
        <v>-</v>
      </c>
      <c r="AX63" s="392">
        <f>IF($AV63="常勤",$AM$2,IF($AV63="非常勤",【様式2】職員名簿!G95,0))</f>
        <v>0</v>
      </c>
      <c r="AY63" s="415">
        <f>IF($AW63=AY$3,COUNTIF($AW$8:$AW63,AY$3),0)</f>
        <v>0</v>
      </c>
      <c r="AZ63" s="416" t="str">
        <f t="shared" si="49"/>
        <v/>
      </c>
      <c r="BA63" s="388">
        <f>IF(OR($AW63=BA$3,$AW63=BA$4),COUNTIF($AW$8:$AW63,BA$3)+COUNTIF($AW$8:$AW63,BA$4),0)</f>
        <v>0</v>
      </c>
      <c r="BB63" s="416" t="str">
        <f t="shared" si="50"/>
        <v/>
      </c>
      <c r="BC63" s="418">
        <f>IF($AW63=BC$3,COUNTIF($AW$8:$AW63,BC$3),0)</f>
        <v>0</v>
      </c>
      <c r="BD63" s="416" t="str">
        <f t="shared" si="51"/>
        <v/>
      </c>
      <c r="BE63" s="388">
        <f>IF(OR($AW63=BE$3,$AW63=BE$4),COUNTIF($AW$8:$AW63,BE$3)+COUNTIF($AW$8:$AW63,BE$4),0)</f>
        <v>0</v>
      </c>
      <c r="BF63" s="416" t="str">
        <f t="shared" si="52"/>
        <v/>
      </c>
      <c r="BG63" s="388">
        <f>IF($AW63=BG$4,COUNTIFS($AV$8:$AV63,BG$3,$AW$8:$AW63,BG$4),0)</f>
        <v>0</v>
      </c>
      <c r="BH63" s="416" t="str">
        <f t="shared" si="53"/>
        <v/>
      </c>
      <c r="BI63" s="388">
        <f>IF($AW63=BI$3,COUNTIF($AW$8:$AW63,BI$3),0)</f>
        <v>0</v>
      </c>
      <c r="BJ63" s="416" t="str">
        <f t="shared" si="54"/>
        <v/>
      </c>
      <c r="BK63" s="388">
        <f>IF($AW63=BK$3,COUNTIF($AW$8:$AW63,BK$3),0)</f>
        <v>0</v>
      </c>
      <c r="BL63" s="416" t="str">
        <f t="shared" si="55"/>
        <v/>
      </c>
      <c r="BM63" s="388">
        <f>IF($AW63&lt;&gt;BM$3,COUNTIF($AW$8:$AW63,"&lt;&gt;"&amp;BM$3),0)</f>
        <v>0</v>
      </c>
      <c r="BN63" s="416" t="str">
        <f t="shared" si="56"/>
        <v/>
      </c>
      <c r="BO63" s="388">
        <f>IF($AW63=BO$3,COUNTIF($AW$8:$AW63,BO$3),0)</f>
        <v>0</v>
      </c>
      <c r="BP63" s="416" t="str">
        <f t="shared" si="57"/>
        <v/>
      </c>
      <c r="BQ63" s="381"/>
      <c r="BR63" s="381"/>
    </row>
    <row r="64" spans="1:70" ht="15" customHeight="1">
      <c r="A64" s="1418"/>
      <c r="B64" s="2232"/>
      <c r="C64" s="2233"/>
      <c r="D64" s="2253" t="str">
        <f t="shared" si="75"/>
        <v>全職種</v>
      </c>
      <c r="E64" s="2254"/>
      <c r="F64" s="2251"/>
      <c r="G64" s="2252"/>
      <c r="H64" s="2252"/>
      <c r="I64" s="860" t="str">
        <f t="shared" si="73"/>
        <v/>
      </c>
      <c r="J64" s="852" t="str">
        <f t="shared" si="58"/>
        <v/>
      </c>
      <c r="K64" s="1075"/>
      <c r="L64" s="898" t="str">
        <f t="shared" si="59"/>
        <v/>
      </c>
      <c r="M64" s="617">
        <f t="shared" si="60"/>
        <v>0</v>
      </c>
      <c r="N64" s="2376"/>
      <c r="O64" s="2377"/>
      <c r="P64" s="230"/>
      <c r="Q64" s="381"/>
      <c r="R64" s="381"/>
      <c r="S64" s="914"/>
      <c r="T64" s="539" t="str">
        <f t="shared" si="74"/>
        <v>全職種</v>
      </c>
      <c r="U64" s="515">
        <f t="shared" si="62"/>
        <v>0</v>
      </c>
      <c r="V64" s="539">
        <v>2</v>
      </c>
      <c r="W64" s="539" t="b">
        <f t="shared" si="76"/>
        <v>0</v>
      </c>
      <c r="X64" s="520" t="b">
        <f t="shared" ca="1" si="64"/>
        <v>0</v>
      </c>
      <c r="Y64" s="543" t="b">
        <f>COUNTIF($AC$15:AC63,AC64)+COUNTIF(AC65:$AC$69,AC64)-IF(AND(ISNUMBER(Z64),Z64=AC64),1,0)=0</f>
        <v>0</v>
      </c>
      <c r="Z64" s="547" t="s">
        <v>801</v>
      </c>
      <c r="AA64" s="547" t="s">
        <v>801</v>
      </c>
      <c r="AB64" s="547" t="s">
        <v>801</v>
      </c>
      <c r="AC64" s="536">
        <f t="shared" si="65"/>
        <v>0</v>
      </c>
      <c r="AD64" s="520" t="b">
        <f t="shared" si="66"/>
        <v>0</v>
      </c>
      <c r="AE64" s="500" t="b">
        <f t="shared" si="67"/>
        <v>0</v>
      </c>
      <c r="AF64" s="539" t="str">
        <f t="shared" si="68"/>
        <v/>
      </c>
      <c r="AG64" s="547">
        <f t="shared" si="69"/>
        <v>0</v>
      </c>
      <c r="AH64" s="529">
        <v>2</v>
      </c>
      <c r="AI64" s="418">
        <f t="shared" si="70"/>
        <v>2</v>
      </c>
      <c r="AJ64" s="420">
        <f t="shared" si="71"/>
        <v>0</v>
      </c>
      <c r="AL64" s="386"/>
      <c r="AM64" s="389"/>
      <c r="AN64" s="386"/>
      <c r="AO64" s="386"/>
      <c r="AR64" s="240"/>
      <c r="AS64" s="240"/>
      <c r="AT64" s="388">
        <f t="shared" si="48"/>
        <v>57</v>
      </c>
      <c r="AU64" s="1081" t="str">
        <f>AT64&amp;" "&amp;IF(AW64&lt;&gt;"-",【様式2】職員名簿!B96&amp;"/"&amp;AV64&amp;"/"&amp;AW64,"")</f>
        <v xml:space="preserve">57 </v>
      </c>
      <c r="AV64" s="1081">
        <f>【様式2】職員名簿!E96</f>
        <v>0</v>
      </c>
      <c r="AW64" s="1081" t="str">
        <f>IF(【様式2】職員名簿!J96="エラー","-",IF(AND(【様式2】職員名簿!C96=$AW$3,【様式2】職員名簿!J96=$AW$4),$AW$3,【様式2】職員名簿!J96))</f>
        <v>-</v>
      </c>
      <c r="AX64" s="392">
        <f>IF($AV64="常勤",$AM$2,IF($AV64="非常勤",【様式2】職員名簿!G96,0))</f>
        <v>0</v>
      </c>
      <c r="AY64" s="415">
        <f>IF($AW64=AY$3,COUNTIF($AW$8:$AW64,AY$3),0)</f>
        <v>0</v>
      </c>
      <c r="AZ64" s="416" t="str">
        <f t="shared" si="49"/>
        <v/>
      </c>
      <c r="BA64" s="388">
        <f>IF(OR($AW64=BA$3,$AW64=BA$4),COUNTIF($AW$8:$AW64,BA$3)+COUNTIF($AW$8:$AW64,BA$4),0)</f>
        <v>0</v>
      </c>
      <c r="BB64" s="416" t="str">
        <f t="shared" si="50"/>
        <v/>
      </c>
      <c r="BC64" s="418">
        <f>IF($AW64=BC$3,COUNTIF($AW$8:$AW64,BC$3),0)</f>
        <v>0</v>
      </c>
      <c r="BD64" s="416" t="str">
        <f t="shared" si="51"/>
        <v/>
      </c>
      <c r="BE64" s="388">
        <f>IF(OR($AW64=BE$3,$AW64=BE$4),COUNTIF($AW$8:$AW64,BE$3)+COUNTIF($AW$8:$AW64,BE$4),0)</f>
        <v>0</v>
      </c>
      <c r="BF64" s="416" t="str">
        <f t="shared" si="52"/>
        <v/>
      </c>
      <c r="BG64" s="388">
        <f>IF($AW64=BG$4,COUNTIFS($AV$8:$AV64,BG$3,$AW$8:$AW64,BG$4),0)</f>
        <v>0</v>
      </c>
      <c r="BH64" s="416" t="str">
        <f t="shared" si="53"/>
        <v/>
      </c>
      <c r="BI64" s="388">
        <f>IF($AW64=BI$3,COUNTIF($AW$8:$AW64,BI$3),0)</f>
        <v>0</v>
      </c>
      <c r="BJ64" s="416" t="str">
        <f t="shared" si="54"/>
        <v/>
      </c>
      <c r="BK64" s="388">
        <f>IF($AW64=BK$3,COUNTIF($AW$8:$AW64,BK$3),0)</f>
        <v>0</v>
      </c>
      <c r="BL64" s="416" t="str">
        <f t="shared" si="55"/>
        <v/>
      </c>
      <c r="BM64" s="388">
        <f>IF($AW64&lt;&gt;BM$3,COUNTIF($AW$8:$AW64,"&lt;&gt;"&amp;BM$3),0)</f>
        <v>0</v>
      </c>
      <c r="BN64" s="416" t="str">
        <f t="shared" si="56"/>
        <v/>
      </c>
      <c r="BO64" s="388">
        <f>IF($AW64=BO$3,COUNTIF($AW$8:$AW64,BO$3),0)</f>
        <v>0</v>
      </c>
      <c r="BP64" s="416" t="str">
        <f t="shared" si="57"/>
        <v/>
      </c>
      <c r="BQ64" s="381"/>
      <c r="BR64" s="381"/>
    </row>
    <row r="65" spans="1:70" ht="15" customHeight="1">
      <c r="A65" s="1418"/>
      <c r="B65" s="2232"/>
      <c r="C65" s="2233"/>
      <c r="D65" s="2253" t="str">
        <f t="shared" si="75"/>
        <v>全職種</v>
      </c>
      <c r="E65" s="2254"/>
      <c r="F65" s="2251"/>
      <c r="G65" s="2252"/>
      <c r="H65" s="2252"/>
      <c r="I65" s="860" t="str">
        <f t="shared" si="73"/>
        <v/>
      </c>
      <c r="J65" s="852" t="str">
        <f t="shared" si="58"/>
        <v/>
      </c>
      <c r="K65" s="1075"/>
      <c r="L65" s="898" t="str">
        <f t="shared" si="59"/>
        <v/>
      </c>
      <c r="M65" s="617">
        <f t="shared" si="60"/>
        <v>0</v>
      </c>
      <c r="N65" s="2376"/>
      <c r="O65" s="2377"/>
      <c r="P65" s="230"/>
      <c r="Q65" s="381"/>
      <c r="R65" s="381"/>
      <c r="S65" s="914"/>
      <c r="T65" s="539" t="str">
        <f t="shared" si="74"/>
        <v>全職種</v>
      </c>
      <c r="U65" s="515">
        <f t="shared" si="62"/>
        <v>0</v>
      </c>
      <c r="V65" s="539">
        <v>2</v>
      </c>
      <c r="W65" s="539" t="b">
        <f t="shared" si="76"/>
        <v>0</v>
      </c>
      <c r="X65" s="520" t="b">
        <f t="shared" ca="1" si="64"/>
        <v>0</v>
      </c>
      <c r="Y65" s="543" t="b">
        <f>COUNTIF($AC$15:AC64,AC65)+COUNTIF(AC66:$AC$69,AC65)-IF(AND(ISNUMBER(Z65),Z65=AC65),1,0)=0</f>
        <v>0</v>
      </c>
      <c r="Z65" s="547" t="s">
        <v>801</v>
      </c>
      <c r="AA65" s="547" t="s">
        <v>801</v>
      </c>
      <c r="AB65" s="547" t="s">
        <v>801</v>
      </c>
      <c r="AC65" s="536">
        <f t="shared" si="65"/>
        <v>0</v>
      </c>
      <c r="AD65" s="520" t="b">
        <f t="shared" si="66"/>
        <v>0</v>
      </c>
      <c r="AE65" s="500" t="b">
        <f t="shared" si="67"/>
        <v>0</v>
      </c>
      <c r="AF65" s="539" t="str">
        <f t="shared" si="68"/>
        <v/>
      </c>
      <c r="AG65" s="547">
        <f t="shared" si="69"/>
        <v>0</v>
      </c>
      <c r="AH65" s="529">
        <v>2</v>
      </c>
      <c r="AI65" s="418">
        <f t="shared" si="70"/>
        <v>2</v>
      </c>
      <c r="AJ65" s="420">
        <f t="shared" si="71"/>
        <v>0</v>
      </c>
      <c r="AL65" s="386"/>
      <c r="AM65" s="389"/>
      <c r="AN65" s="386"/>
      <c r="AO65" s="386"/>
      <c r="AR65" s="240"/>
      <c r="AS65" s="240"/>
      <c r="AT65" s="388">
        <f t="shared" si="48"/>
        <v>58</v>
      </c>
      <c r="AU65" s="1081" t="str">
        <f>AT65&amp;" "&amp;IF(AW65&lt;&gt;"-",【様式2】職員名簿!B97&amp;"/"&amp;AV65&amp;"/"&amp;AW65,"")</f>
        <v xml:space="preserve">58 </v>
      </c>
      <c r="AV65" s="1081">
        <f>【様式2】職員名簿!E97</f>
        <v>0</v>
      </c>
      <c r="AW65" s="1081" t="str">
        <f>IF(【様式2】職員名簿!J97="エラー","-",IF(AND(【様式2】職員名簿!C97=$AW$3,【様式2】職員名簿!J97=$AW$4),$AW$3,【様式2】職員名簿!J97))</f>
        <v>-</v>
      </c>
      <c r="AX65" s="392">
        <f>IF($AV65="常勤",$AM$2,IF($AV65="非常勤",【様式2】職員名簿!G97,0))</f>
        <v>0</v>
      </c>
      <c r="AY65" s="415">
        <f>IF($AW65=AY$3,COUNTIF($AW$8:$AW65,AY$3),0)</f>
        <v>0</v>
      </c>
      <c r="AZ65" s="416" t="str">
        <f t="shared" si="49"/>
        <v/>
      </c>
      <c r="BA65" s="388">
        <f>IF(OR($AW65=BA$3,$AW65=BA$4),COUNTIF($AW$8:$AW65,BA$3)+COUNTIF($AW$8:$AW65,BA$4),0)</f>
        <v>0</v>
      </c>
      <c r="BB65" s="416" t="str">
        <f t="shared" si="50"/>
        <v/>
      </c>
      <c r="BC65" s="418">
        <f>IF($AW65=BC$3,COUNTIF($AW$8:$AW65,BC$3),0)</f>
        <v>0</v>
      </c>
      <c r="BD65" s="416" t="str">
        <f t="shared" si="51"/>
        <v/>
      </c>
      <c r="BE65" s="388">
        <f>IF(OR($AW65=BE$3,$AW65=BE$4),COUNTIF($AW$8:$AW65,BE$3)+COUNTIF($AW$8:$AW65,BE$4),0)</f>
        <v>0</v>
      </c>
      <c r="BF65" s="416" t="str">
        <f t="shared" si="52"/>
        <v/>
      </c>
      <c r="BG65" s="388">
        <f>IF($AW65=BG$4,COUNTIFS($AV$8:$AV65,BG$3,$AW$8:$AW65,BG$4),0)</f>
        <v>0</v>
      </c>
      <c r="BH65" s="416" t="str">
        <f t="shared" si="53"/>
        <v/>
      </c>
      <c r="BI65" s="388">
        <f>IF($AW65=BI$3,COUNTIF($AW$8:$AW65,BI$3),0)</f>
        <v>0</v>
      </c>
      <c r="BJ65" s="416" t="str">
        <f t="shared" si="54"/>
        <v/>
      </c>
      <c r="BK65" s="388">
        <f>IF($AW65=BK$3,COUNTIF($AW$8:$AW65,BK$3),0)</f>
        <v>0</v>
      </c>
      <c r="BL65" s="416" t="str">
        <f t="shared" si="55"/>
        <v/>
      </c>
      <c r="BM65" s="388">
        <f>IF($AW65&lt;&gt;BM$3,COUNTIF($AW$8:$AW65,"&lt;&gt;"&amp;BM$3),0)</f>
        <v>0</v>
      </c>
      <c r="BN65" s="416" t="str">
        <f t="shared" si="56"/>
        <v/>
      </c>
      <c r="BO65" s="388">
        <f>IF($AW65=BO$3,COUNTIF($AW$8:$AW65,BO$3),0)</f>
        <v>0</v>
      </c>
      <c r="BP65" s="416" t="str">
        <f t="shared" si="57"/>
        <v/>
      </c>
      <c r="BQ65" s="381"/>
      <c r="BR65" s="381"/>
    </row>
    <row r="66" spans="1:70" ht="15" customHeight="1">
      <c r="A66" s="1418"/>
      <c r="B66" s="2232"/>
      <c r="C66" s="2233"/>
      <c r="D66" s="2253" t="str">
        <f t="shared" si="75"/>
        <v>全職種</v>
      </c>
      <c r="E66" s="2254"/>
      <c r="F66" s="2251"/>
      <c r="G66" s="2252"/>
      <c r="H66" s="2252"/>
      <c r="I66" s="860" t="str">
        <f t="shared" si="73"/>
        <v/>
      </c>
      <c r="J66" s="852" t="str">
        <f t="shared" si="58"/>
        <v/>
      </c>
      <c r="K66" s="1075"/>
      <c r="L66" s="898" t="str">
        <f t="shared" si="59"/>
        <v/>
      </c>
      <c r="M66" s="617">
        <f t="shared" si="60"/>
        <v>0</v>
      </c>
      <c r="N66" s="2376"/>
      <c r="O66" s="2377"/>
      <c r="P66" s="230"/>
      <c r="Q66" s="381"/>
      <c r="R66" s="381"/>
      <c r="S66" s="914"/>
      <c r="T66" s="539" t="str">
        <f t="shared" si="74"/>
        <v>全職種</v>
      </c>
      <c r="U66" s="515">
        <f t="shared" si="62"/>
        <v>0</v>
      </c>
      <c r="V66" s="539">
        <v>2</v>
      </c>
      <c r="W66" s="539" t="b">
        <f t="shared" si="76"/>
        <v>0</v>
      </c>
      <c r="X66" s="520" t="b">
        <f t="shared" ca="1" si="64"/>
        <v>0</v>
      </c>
      <c r="Y66" s="543" t="b">
        <f>COUNTIF($AC$15:AC65,AC66)+COUNTIF(AC67:$AC$69,AC66)-IF(AND(ISNUMBER(Z66),Z66=AC66),1,0)=0</f>
        <v>0</v>
      </c>
      <c r="Z66" s="547" t="s">
        <v>801</v>
      </c>
      <c r="AA66" s="547" t="s">
        <v>801</v>
      </c>
      <c r="AB66" s="547" t="s">
        <v>801</v>
      </c>
      <c r="AC66" s="536">
        <f t="shared" si="65"/>
        <v>0</v>
      </c>
      <c r="AD66" s="520" t="b">
        <f t="shared" si="66"/>
        <v>0</v>
      </c>
      <c r="AE66" s="500" t="b">
        <f t="shared" si="67"/>
        <v>0</v>
      </c>
      <c r="AF66" s="539" t="str">
        <f t="shared" si="68"/>
        <v/>
      </c>
      <c r="AG66" s="547">
        <f t="shared" si="69"/>
        <v>0</v>
      </c>
      <c r="AH66" s="529">
        <v>2</v>
      </c>
      <c r="AI66" s="418">
        <f t="shared" si="70"/>
        <v>2</v>
      </c>
      <c r="AJ66" s="420">
        <f t="shared" si="71"/>
        <v>0</v>
      </c>
      <c r="AL66" s="386"/>
      <c r="AM66" s="386"/>
      <c r="AN66" s="389"/>
      <c r="AO66" s="386"/>
      <c r="AP66" s="386"/>
      <c r="AT66" s="388">
        <f t="shared" si="48"/>
        <v>59</v>
      </c>
      <c r="AU66" s="1081" t="str">
        <f>AT66&amp;" "&amp;IF(AW66&lt;&gt;"-",【様式2】職員名簿!B98&amp;"/"&amp;AV66&amp;"/"&amp;AW66,"")</f>
        <v xml:space="preserve">59 </v>
      </c>
      <c r="AV66" s="1081">
        <f>【様式2】職員名簿!E98</f>
        <v>0</v>
      </c>
      <c r="AW66" s="1081" t="str">
        <f>IF(【様式2】職員名簿!J98="エラー","-",IF(AND(【様式2】職員名簿!C98=$AW$3,【様式2】職員名簿!J98=$AW$4),$AW$3,【様式2】職員名簿!J98))</f>
        <v>-</v>
      </c>
      <c r="AX66" s="392">
        <f>IF($AV66="常勤",$AM$2,IF($AV66="非常勤",【様式2】職員名簿!G98,0))</f>
        <v>0</v>
      </c>
      <c r="AY66" s="415">
        <f>IF($AW66=AY$3,COUNTIF($AW$8:$AW66,AY$3),0)</f>
        <v>0</v>
      </c>
      <c r="AZ66" s="416" t="str">
        <f t="shared" si="49"/>
        <v/>
      </c>
      <c r="BA66" s="388">
        <f>IF(OR($AW66=BA$3,$AW66=BA$4),COUNTIF($AW$8:$AW66,BA$3)+COUNTIF($AW$8:$AW66,BA$4),0)</f>
        <v>0</v>
      </c>
      <c r="BB66" s="416" t="str">
        <f t="shared" si="50"/>
        <v/>
      </c>
      <c r="BC66" s="418">
        <f>IF($AW66=BC$3,COUNTIF($AW$8:$AW66,BC$3),0)</f>
        <v>0</v>
      </c>
      <c r="BD66" s="416" t="str">
        <f t="shared" si="51"/>
        <v/>
      </c>
      <c r="BE66" s="388">
        <f>IF(OR($AW66=BE$3,$AW66=BE$4),COUNTIF($AW$8:$AW66,BE$3)+COUNTIF($AW$8:$AW66,BE$4),0)</f>
        <v>0</v>
      </c>
      <c r="BF66" s="416" t="str">
        <f t="shared" si="52"/>
        <v/>
      </c>
      <c r="BG66" s="388">
        <f>IF($AW66=BG$4,COUNTIFS($AV$8:$AV66,BG$3,$AW$8:$AW66,BG$4),0)</f>
        <v>0</v>
      </c>
      <c r="BH66" s="416" t="str">
        <f t="shared" si="53"/>
        <v/>
      </c>
      <c r="BI66" s="388">
        <f>IF($AW66=BI$3,COUNTIF($AW$8:$AW66,BI$3),0)</f>
        <v>0</v>
      </c>
      <c r="BJ66" s="416" t="str">
        <f t="shared" si="54"/>
        <v/>
      </c>
      <c r="BK66" s="388">
        <f>IF($AW66=BK$3,COUNTIF($AW$8:$AW66,BK$3),0)</f>
        <v>0</v>
      </c>
      <c r="BL66" s="416" t="str">
        <f t="shared" si="55"/>
        <v/>
      </c>
      <c r="BM66" s="388">
        <f>IF($AW66&lt;&gt;BM$3,COUNTIF($AW$8:$AW66,"&lt;&gt;"&amp;BM$3),0)</f>
        <v>0</v>
      </c>
      <c r="BN66" s="416" t="str">
        <f t="shared" si="56"/>
        <v/>
      </c>
      <c r="BO66" s="388">
        <f>IF($AW66=BO$3,COUNTIF($AW$8:$AW66,BO$3),0)</f>
        <v>0</v>
      </c>
      <c r="BP66" s="416" t="str">
        <f t="shared" si="57"/>
        <v/>
      </c>
      <c r="BQ66" s="381"/>
      <c r="BR66" s="381"/>
    </row>
    <row r="67" spans="1:70" ht="15" customHeight="1">
      <c r="A67" s="1418"/>
      <c r="B67" s="2409"/>
      <c r="C67" s="2410"/>
      <c r="D67" s="2123" t="str">
        <f t="shared" si="75"/>
        <v>全職種</v>
      </c>
      <c r="E67" s="2124"/>
      <c r="F67" s="2384"/>
      <c r="G67" s="2385"/>
      <c r="H67" s="2385"/>
      <c r="I67" s="863" t="str">
        <f t="shared" si="73"/>
        <v/>
      </c>
      <c r="J67" s="853" t="str">
        <f t="shared" si="58"/>
        <v/>
      </c>
      <c r="K67" s="1078"/>
      <c r="L67" s="886" t="str">
        <f t="shared" si="59"/>
        <v/>
      </c>
      <c r="M67" s="612">
        <f t="shared" si="60"/>
        <v>0</v>
      </c>
      <c r="N67" s="2380"/>
      <c r="O67" s="2381"/>
      <c r="P67" s="230"/>
      <c r="Q67" s="381"/>
      <c r="R67" s="381"/>
      <c r="S67" s="914"/>
      <c r="T67" s="540" t="str">
        <f t="shared" si="74"/>
        <v>全職種</v>
      </c>
      <c r="U67" s="498">
        <f t="shared" si="62"/>
        <v>0</v>
      </c>
      <c r="V67" s="540">
        <v>2</v>
      </c>
      <c r="W67" s="540" t="b">
        <f t="shared" si="76"/>
        <v>0</v>
      </c>
      <c r="X67" s="524" t="b">
        <f t="shared" ca="1" si="64"/>
        <v>0</v>
      </c>
      <c r="Y67" s="544" t="b">
        <f>COUNTIF($AC$15:AC66,AC67)+COUNTIF(AC68:$AC$69,AC67)-IF(AND(ISNUMBER(Z67),Z67=AC67),1,0)=0</f>
        <v>0</v>
      </c>
      <c r="Z67" s="548" t="s">
        <v>801</v>
      </c>
      <c r="AA67" s="548" t="s">
        <v>801</v>
      </c>
      <c r="AB67" s="548" t="s">
        <v>801</v>
      </c>
      <c r="AC67" s="431">
        <f t="shared" si="65"/>
        <v>0</v>
      </c>
      <c r="AD67" s="524" t="b">
        <f t="shared" si="66"/>
        <v>0</v>
      </c>
      <c r="AE67" s="514" t="b">
        <f t="shared" si="67"/>
        <v>0</v>
      </c>
      <c r="AF67" s="540" t="str">
        <f t="shared" si="68"/>
        <v/>
      </c>
      <c r="AG67" s="548">
        <f t="shared" si="69"/>
        <v>0</v>
      </c>
      <c r="AH67" s="530">
        <v>2</v>
      </c>
      <c r="AI67" s="522">
        <f t="shared" si="70"/>
        <v>2</v>
      </c>
      <c r="AJ67" s="496">
        <f t="shared" si="71"/>
        <v>0</v>
      </c>
      <c r="AM67" s="386"/>
      <c r="AN67" s="389"/>
      <c r="AO67" s="386"/>
      <c r="AP67" s="386"/>
      <c r="AR67" s="240"/>
      <c r="AS67" s="240"/>
      <c r="AT67" s="388">
        <f t="shared" si="48"/>
        <v>60</v>
      </c>
      <c r="AU67" s="1081" t="str">
        <f>AT67&amp;" "&amp;IF(AW67&lt;&gt;"-",【様式2】職員名簿!B99&amp;"/"&amp;AV67&amp;"/"&amp;AW67,"")</f>
        <v xml:space="preserve">60 </v>
      </c>
      <c r="AV67" s="1081">
        <f>【様式2】職員名簿!E99</f>
        <v>0</v>
      </c>
      <c r="AW67" s="1081" t="str">
        <f>IF(【様式2】職員名簿!J99="エラー","-",IF(AND(【様式2】職員名簿!C99=$AW$3,【様式2】職員名簿!J99=$AW$4),$AW$3,【様式2】職員名簿!J99))</f>
        <v>-</v>
      </c>
      <c r="AX67" s="392">
        <f>IF($AV67="常勤",$AM$2,IF($AV67="非常勤",【様式2】職員名簿!G99,0))</f>
        <v>0</v>
      </c>
      <c r="AY67" s="415">
        <f>IF($AW67=AY$3,COUNTIF($AW$8:$AW67,AY$3),0)</f>
        <v>0</v>
      </c>
      <c r="AZ67" s="416" t="str">
        <f t="shared" si="49"/>
        <v/>
      </c>
      <c r="BA67" s="388">
        <f>IF(OR($AW67=BA$3,$AW67=BA$4),COUNTIF($AW$8:$AW67,BA$3)+COUNTIF($AW$8:$AW67,BA$4),0)</f>
        <v>0</v>
      </c>
      <c r="BB67" s="416" t="str">
        <f t="shared" si="50"/>
        <v/>
      </c>
      <c r="BC67" s="418">
        <f>IF($AW67=BC$3,COUNTIF($AW$8:$AW67,BC$3),0)</f>
        <v>0</v>
      </c>
      <c r="BD67" s="416" t="str">
        <f t="shared" si="51"/>
        <v/>
      </c>
      <c r="BE67" s="388">
        <f>IF(OR($AW67=BE$3,$AW67=BE$4),COUNTIF($AW$8:$AW67,BE$3)+COUNTIF($AW$8:$AW67,BE$4),0)</f>
        <v>0</v>
      </c>
      <c r="BF67" s="416" t="str">
        <f t="shared" si="52"/>
        <v/>
      </c>
      <c r="BG67" s="388">
        <f>IF($AW67=BG$4,COUNTIFS($AV$8:$AV67,BG$3,$AW$8:$AW67,BG$4),0)</f>
        <v>0</v>
      </c>
      <c r="BH67" s="416" t="str">
        <f t="shared" si="53"/>
        <v/>
      </c>
      <c r="BI67" s="388">
        <f>IF($AW67=BI$3,COUNTIF($AW$8:$AW67,BI$3),0)</f>
        <v>0</v>
      </c>
      <c r="BJ67" s="416" t="str">
        <f t="shared" si="54"/>
        <v/>
      </c>
      <c r="BK67" s="388">
        <f>IF($AW67=BK$3,COUNTIF($AW$8:$AW67,BK$3),0)</f>
        <v>0</v>
      </c>
      <c r="BL67" s="416" t="str">
        <f t="shared" si="55"/>
        <v/>
      </c>
      <c r="BM67" s="388">
        <f>IF($AW67&lt;&gt;BM$3,COUNTIF($AW$8:$AW67,"&lt;&gt;"&amp;BM$3),0)</f>
        <v>0</v>
      </c>
      <c r="BN67" s="416" t="str">
        <f t="shared" si="56"/>
        <v/>
      </c>
      <c r="BO67" s="388">
        <f>IF($AW67=BO$3,COUNTIF($AW$8:$AW67,BO$3),0)</f>
        <v>0</v>
      </c>
      <c r="BP67" s="416" t="str">
        <f t="shared" si="57"/>
        <v/>
      </c>
      <c r="BQ67" s="381"/>
      <c r="BR67" s="381"/>
    </row>
    <row r="68" spans="1:70" ht="15" customHeight="1">
      <c r="A68" s="809" t="s">
        <v>792</v>
      </c>
      <c r="B68" s="2392"/>
      <c r="C68" s="2393"/>
      <c r="D68" s="2407" t="str">
        <f>AF68</f>
        <v>教諭（発令有）</v>
      </c>
      <c r="E68" s="2408"/>
      <c r="F68" s="2382" t="str">
        <f>IF(ISTEXT(B68),【様式2】職員名簿!B30,"")</f>
        <v/>
      </c>
      <c r="G68" s="2383"/>
      <c r="H68" s="2383"/>
      <c r="I68" s="862" t="str">
        <f t="shared" si="73"/>
        <v/>
      </c>
      <c r="J68" s="1011" t="str">
        <f t="shared" si="58"/>
        <v/>
      </c>
      <c r="K68" s="1079"/>
      <c r="L68" s="901" t="str">
        <f t="shared" si="59"/>
        <v/>
      </c>
      <c r="M68" s="611">
        <f t="shared" si="60"/>
        <v>0</v>
      </c>
      <c r="N68" s="2378">
        <f>SUM(M68:M68)</f>
        <v>0</v>
      </c>
      <c r="O68" s="2379"/>
      <c r="P68" s="230"/>
      <c r="Q68" s="381"/>
      <c r="R68" s="381"/>
      <c r="S68" s="914"/>
      <c r="T68" s="529" t="s">
        <v>823</v>
      </c>
      <c r="U68" s="526">
        <f>BS7</f>
        <v>0</v>
      </c>
      <c r="V68" s="542">
        <v>3</v>
      </c>
      <c r="W68" s="542" t="b">
        <f t="shared" si="76"/>
        <v>0</v>
      </c>
      <c r="X68" s="521" t="b">
        <f t="shared" ca="1" si="64"/>
        <v>0</v>
      </c>
      <c r="Y68" s="545" t="b">
        <f>COUNTIF($AC$15:AC67,AC68)+COUNTIF(AC69:$AC$69,AC68)-IF(AND(ISNUMBER(Z68),Z68=AC68),1,0)=0</f>
        <v>0</v>
      </c>
      <c r="Z68" s="549" t="s">
        <v>801</v>
      </c>
      <c r="AA68" s="549" t="s">
        <v>801</v>
      </c>
      <c r="AB68" s="549" t="s">
        <v>801</v>
      </c>
      <c r="AC68" s="499" t="str">
        <f>IF(V68=3,"-",IFERROR(INDEX($AT$8:$AT$107,MATCH($F68,AU$8:AU$107,0),1),0))</f>
        <v>-</v>
      </c>
      <c r="AD68" s="526" t="b">
        <f t="shared" ref="AD68" si="77">U68&gt;0</f>
        <v>0</v>
      </c>
      <c r="AE68" s="550" t="s">
        <v>821</v>
      </c>
      <c r="AF68" s="529" t="str">
        <f>BQ7</f>
        <v>教諭（発令有）</v>
      </c>
      <c r="AG68" s="549">
        <f t="shared" si="69"/>
        <v>0</v>
      </c>
      <c r="AH68" s="529">
        <v>2</v>
      </c>
      <c r="AI68" s="418">
        <f t="shared" si="70"/>
        <v>2</v>
      </c>
      <c r="AJ68" s="420">
        <f t="shared" si="71"/>
        <v>0</v>
      </c>
      <c r="AK68" s="386"/>
      <c r="AO68" s="386"/>
      <c r="AQ68" s="240"/>
      <c r="AR68" s="240"/>
      <c r="AS68" s="240"/>
      <c r="AT68" s="388">
        <f t="shared" si="48"/>
        <v>61</v>
      </c>
      <c r="AU68" s="1081" t="str">
        <f>AT68&amp;" "&amp;IF(AW68&lt;&gt;"-",【様式2】職員名簿!B100&amp;"/"&amp;AV68&amp;"/"&amp;AW68,"")</f>
        <v xml:space="preserve">61 </v>
      </c>
      <c r="AV68" s="1081">
        <f>【様式2】職員名簿!E100</f>
        <v>0</v>
      </c>
      <c r="AW68" s="1081" t="str">
        <f>IF(【様式2】職員名簿!J100="エラー","-",IF(AND(【様式2】職員名簿!C100=$AW$3,【様式2】職員名簿!J100=$AW$4),$AW$3,【様式2】職員名簿!J100))</f>
        <v>-</v>
      </c>
      <c r="AX68" s="392">
        <f>IF($AV68="常勤",$AM$2,IF($AV68="非常勤",【様式2】職員名簿!G100,0))</f>
        <v>0</v>
      </c>
      <c r="AY68" s="415">
        <f>IF($AW68=AY$3,COUNTIF($AW$8:$AW68,AY$3),0)</f>
        <v>0</v>
      </c>
      <c r="AZ68" s="416" t="str">
        <f t="shared" si="49"/>
        <v/>
      </c>
      <c r="BA68" s="388">
        <f>IF(OR($AW68=BA$3,$AW68=BA$4),COUNTIF($AW$8:$AW68,BA$3)+COUNTIF($AW$8:$AW68,BA$4),0)</f>
        <v>0</v>
      </c>
      <c r="BB68" s="416" t="str">
        <f t="shared" si="50"/>
        <v/>
      </c>
      <c r="BC68" s="418">
        <f>IF($AW68=BC$3,COUNTIF($AW$8:$AW68,BC$3),0)</f>
        <v>0</v>
      </c>
      <c r="BD68" s="416" t="str">
        <f t="shared" si="51"/>
        <v/>
      </c>
      <c r="BE68" s="388">
        <f>IF(OR($AW68=BE$3,$AW68=BE$4),COUNTIF($AW$8:$AW68,BE$3)+COUNTIF($AW$8:$AW68,BE$4),0)</f>
        <v>0</v>
      </c>
      <c r="BF68" s="416" t="str">
        <f t="shared" si="52"/>
        <v/>
      </c>
      <c r="BG68" s="388">
        <f>IF($AW68=BG$4,COUNTIFS($AV$8:$AV68,BG$3,$AW$8:$AW68,BG$4),0)</f>
        <v>0</v>
      </c>
      <c r="BH68" s="416" t="str">
        <f t="shared" si="53"/>
        <v/>
      </c>
      <c r="BI68" s="388">
        <f>IF($AW68=BI$3,COUNTIF($AW$8:$AW68,BI$3),0)</f>
        <v>0</v>
      </c>
      <c r="BJ68" s="416" t="str">
        <f t="shared" si="54"/>
        <v/>
      </c>
      <c r="BK68" s="388">
        <f>IF($AW68=BK$3,COUNTIF($AW$8:$AW68,BK$3),0)</f>
        <v>0</v>
      </c>
      <c r="BL68" s="416" t="str">
        <f t="shared" si="55"/>
        <v/>
      </c>
      <c r="BM68" s="388">
        <f>IF($AW68&lt;&gt;BM$3,COUNTIF($AW$8:$AW68,"&lt;&gt;"&amp;BM$3),0)</f>
        <v>0</v>
      </c>
      <c r="BN68" s="416" t="str">
        <f t="shared" si="56"/>
        <v/>
      </c>
      <c r="BO68" s="388">
        <f>IF($AW68=BO$3,COUNTIF($AW$8:$AW68,BO$3),0)</f>
        <v>0</v>
      </c>
      <c r="BP68" s="416" t="str">
        <f t="shared" si="57"/>
        <v/>
      </c>
      <c r="BQ68" s="381"/>
      <c r="BR68" s="381"/>
    </row>
    <row r="69" spans="1:70" ht="15" hidden="1" customHeight="1" outlineLevel="1" thickBot="1">
      <c r="A69" s="601"/>
      <c r="B69" s="620"/>
      <c r="C69" s="940"/>
      <c r="D69" s="940"/>
      <c r="E69" s="940"/>
      <c r="F69" s="940"/>
      <c r="G69" s="940"/>
      <c r="H69" s="614"/>
      <c r="I69" s="614"/>
      <c r="J69" s="614"/>
      <c r="K69" s="940"/>
      <c r="L69" s="940"/>
      <c r="M69" s="940"/>
      <c r="N69" s="940"/>
      <c r="O69" s="940"/>
      <c r="P69" s="230"/>
      <c r="Q69" s="230"/>
      <c r="R69" s="386"/>
      <c r="S69" s="386"/>
      <c r="T69" s="386"/>
      <c r="Y69" s="234"/>
      <c r="Z69" s="234"/>
      <c r="AA69" s="234"/>
      <c r="AB69" s="234"/>
      <c r="AC69" s="525">
        <v>0</v>
      </c>
      <c r="AF69" s="234"/>
      <c r="AG69" s="234"/>
      <c r="AH69" s="234"/>
      <c r="AI69" s="234"/>
      <c r="AJ69" s="234"/>
      <c r="AK69" s="386"/>
      <c r="AO69" s="386"/>
      <c r="AQ69" s="240"/>
      <c r="AR69" s="240"/>
      <c r="AS69" s="240"/>
      <c r="AT69" s="388">
        <f t="shared" si="48"/>
        <v>62</v>
      </c>
      <c r="AU69" s="1081" t="str">
        <f>AT69&amp;" "&amp;IF(AW69&lt;&gt;"-",【様式2】職員名簿!B101&amp;"/"&amp;AV69&amp;"/"&amp;AW69,"")</f>
        <v xml:space="preserve">62 </v>
      </c>
      <c r="AV69" s="1081">
        <f>【様式2】職員名簿!E101</f>
        <v>0</v>
      </c>
      <c r="AW69" s="1081" t="str">
        <f>IF(【様式2】職員名簿!J101="エラー","-",IF(AND(【様式2】職員名簿!C101=$AW$3,【様式2】職員名簿!J101=$AW$4),$AW$3,【様式2】職員名簿!J101))</f>
        <v>-</v>
      </c>
      <c r="AX69" s="392">
        <f>IF($AV69="常勤",$AM$2,IF($AV69="非常勤",【様式2】職員名簿!G101,0))</f>
        <v>0</v>
      </c>
      <c r="AY69" s="415">
        <f>IF($AW69=AY$3,COUNTIF($AW$8:$AW69,AY$3),0)</f>
        <v>0</v>
      </c>
      <c r="AZ69" s="416" t="str">
        <f t="shared" si="49"/>
        <v/>
      </c>
      <c r="BA69" s="388">
        <f>IF(OR($AW69=BA$3,$AW69=BA$4),COUNTIF($AW$8:$AW69,BA$3)+COUNTIF($AW$8:$AW69,BA$4),0)</f>
        <v>0</v>
      </c>
      <c r="BB69" s="416" t="str">
        <f t="shared" si="50"/>
        <v/>
      </c>
      <c r="BC69" s="418">
        <f>IF($AW69=BC$3,COUNTIF($AW$8:$AW69,BC$3),0)</f>
        <v>0</v>
      </c>
      <c r="BD69" s="416" t="str">
        <f t="shared" si="51"/>
        <v/>
      </c>
      <c r="BE69" s="388">
        <f>IF(OR($AW69=BE$3,$AW69=BE$4),COUNTIF($AW$8:$AW69,BE$3)+COUNTIF($AW$8:$AW69,BE$4),0)</f>
        <v>0</v>
      </c>
      <c r="BF69" s="416" t="str">
        <f t="shared" si="52"/>
        <v/>
      </c>
      <c r="BG69" s="388">
        <f>IF($AW69=BG$4,COUNTIFS($AV$8:$AV69,BG$3,$AW$8:$AW69,BG$4),0)</f>
        <v>0</v>
      </c>
      <c r="BH69" s="416" t="str">
        <f t="shared" si="53"/>
        <v/>
      </c>
      <c r="BI69" s="388">
        <f>IF($AW69=BI$3,COUNTIF($AW$8:$AW69,BI$3),0)</f>
        <v>0</v>
      </c>
      <c r="BJ69" s="416" t="str">
        <f t="shared" si="54"/>
        <v/>
      </c>
      <c r="BK69" s="388">
        <f>IF($AW69=BK$3,COUNTIF($AW$8:$AW69,BK$3),0)</f>
        <v>0</v>
      </c>
      <c r="BL69" s="416" t="str">
        <f t="shared" si="55"/>
        <v/>
      </c>
      <c r="BM69" s="388">
        <f>IF($AW69&lt;&gt;BM$3,COUNTIF($AW$8:$AW69,"&lt;&gt;"&amp;BM$3),0)</f>
        <v>0</v>
      </c>
      <c r="BN69" s="416" t="str">
        <f t="shared" si="56"/>
        <v/>
      </c>
      <c r="BO69" s="388">
        <f>IF($AW69=BO$3,COUNTIF($AW$8:$AW69,BO$3),0)</f>
        <v>0</v>
      </c>
      <c r="BP69" s="416" t="str">
        <f t="shared" si="57"/>
        <v/>
      </c>
      <c r="BQ69" s="381"/>
      <c r="BR69" s="381"/>
    </row>
    <row r="70" spans="1:70" ht="15" hidden="1" customHeight="1" outlineLevel="1" thickBot="1">
      <c r="A70" s="593" t="s">
        <v>705</v>
      </c>
      <c r="B70" s="940"/>
      <c r="C70" s="940"/>
      <c r="D70" s="940"/>
      <c r="E70" s="940"/>
      <c r="F70" s="940"/>
      <c r="H70" s="940" t="s">
        <v>723</v>
      </c>
      <c r="I70" s="601"/>
      <c r="J70" s="601"/>
      <c r="K70" s="940"/>
      <c r="L70" s="601"/>
      <c r="M70" s="940"/>
      <c r="N70" s="940"/>
      <c r="O70" s="601"/>
      <c r="P70" s="230"/>
      <c r="Q70" s="230"/>
      <c r="R70" s="386"/>
      <c r="S70" s="386"/>
      <c r="T70" s="386"/>
      <c r="AK70" s="386"/>
      <c r="AQ70" s="240"/>
      <c r="AR70" s="240"/>
      <c r="AS70" s="240"/>
      <c r="AT70" s="388">
        <f t="shared" si="48"/>
        <v>63</v>
      </c>
      <c r="AU70" s="1081" t="str">
        <f>AT70&amp;" "&amp;IF(AW70&lt;&gt;"-",【様式2】職員名簿!B102&amp;"/"&amp;AV70&amp;"/"&amp;AW70,"")</f>
        <v xml:space="preserve">63 </v>
      </c>
      <c r="AV70" s="1081">
        <f>【様式2】職員名簿!E102</f>
        <v>0</v>
      </c>
      <c r="AW70" s="1081" t="str">
        <f>IF(【様式2】職員名簿!J102="エラー","-",IF(AND(【様式2】職員名簿!C102=$AW$3,【様式2】職員名簿!J102=$AW$4),$AW$3,【様式2】職員名簿!J102))</f>
        <v>-</v>
      </c>
      <c r="AX70" s="392">
        <f>IF($AV70="常勤",$AM$2,IF($AV70="非常勤",【様式2】職員名簿!G102,0))</f>
        <v>0</v>
      </c>
      <c r="AY70" s="415">
        <f>IF($AW70=AY$3,COUNTIF($AW$8:$AW70,AY$3),0)</f>
        <v>0</v>
      </c>
      <c r="AZ70" s="416" t="str">
        <f t="shared" si="49"/>
        <v/>
      </c>
      <c r="BA70" s="388">
        <f>IF(OR($AW70=BA$3,$AW70=BA$4),COUNTIF($AW$8:$AW70,BA$3)+COUNTIF($AW$8:$AW70,BA$4),0)</f>
        <v>0</v>
      </c>
      <c r="BB70" s="416" t="str">
        <f t="shared" si="50"/>
        <v/>
      </c>
      <c r="BC70" s="418">
        <f>IF($AW70=BC$3,COUNTIF($AW$8:$AW70,BC$3),0)</f>
        <v>0</v>
      </c>
      <c r="BD70" s="416" t="str">
        <f t="shared" si="51"/>
        <v/>
      </c>
      <c r="BE70" s="388">
        <f>IF(OR($AW70=BE$3,$AW70=BE$4),COUNTIF($AW$8:$AW70,BE$3)+COUNTIF($AW$8:$AW70,BE$4),0)</f>
        <v>0</v>
      </c>
      <c r="BF70" s="416" t="str">
        <f t="shared" si="52"/>
        <v/>
      </c>
      <c r="BG70" s="388">
        <f>IF($AW70=BG$4,COUNTIFS($AV$8:$AV70,BG$3,$AW$8:$AW70,BG$4),0)</f>
        <v>0</v>
      </c>
      <c r="BH70" s="416" t="str">
        <f t="shared" si="53"/>
        <v/>
      </c>
      <c r="BI70" s="388">
        <f>IF($AW70=BI$3,COUNTIF($AW$8:$AW70,BI$3),0)</f>
        <v>0</v>
      </c>
      <c r="BJ70" s="416" t="str">
        <f t="shared" si="54"/>
        <v/>
      </c>
      <c r="BK70" s="388">
        <f>IF($AW70=BK$3,COUNTIF($AW$8:$AW70,BK$3),0)</f>
        <v>0</v>
      </c>
      <c r="BL70" s="416" t="str">
        <f t="shared" si="55"/>
        <v/>
      </c>
      <c r="BM70" s="388">
        <f>IF($AW70&lt;&gt;BM$3,COUNTIF($AW$8:$AW70,"&lt;&gt;"&amp;BM$3),0)</f>
        <v>0</v>
      </c>
      <c r="BN70" s="416" t="str">
        <f t="shared" si="56"/>
        <v/>
      </c>
      <c r="BO70" s="388">
        <f>IF($AW70=BO$3,COUNTIF($AW$8:$AW70,BO$3),0)</f>
        <v>0</v>
      </c>
      <c r="BP70" s="416" t="str">
        <f t="shared" si="57"/>
        <v/>
      </c>
      <c r="BQ70" s="381"/>
      <c r="BR70" s="381"/>
    </row>
    <row r="71" spans="1:70" ht="15" hidden="1" customHeight="1" outlineLevel="1" thickBot="1">
      <c r="A71" s="2543" t="s">
        <v>353</v>
      </c>
      <c r="B71" s="2397" t="s">
        <v>787</v>
      </c>
      <c r="C71" s="2398"/>
      <c r="D71" s="2398"/>
      <c r="E71" s="2398"/>
      <c r="F71" s="2398"/>
      <c r="G71" s="2398"/>
      <c r="H71" s="1082"/>
      <c r="I71" s="621"/>
      <c r="J71" s="621"/>
      <c r="K71" s="621"/>
      <c r="L71" s="601"/>
      <c r="M71" s="940"/>
      <c r="N71" s="940"/>
      <c r="O71" s="601"/>
      <c r="P71" s="230"/>
      <c r="Q71" s="230"/>
      <c r="R71" s="386"/>
      <c r="S71" s="229"/>
      <c r="T71" s="229"/>
      <c r="AK71" s="386"/>
      <c r="AQ71" s="240"/>
      <c r="AR71" s="240"/>
      <c r="AS71" s="240"/>
      <c r="AT71" s="388">
        <f t="shared" si="48"/>
        <v>64</v>
      </c>
      <c r="AU71" s="1081" t="str">
        <f>AT71&amp;" "&amp;IF(AW71&lt;&gt;"-",【様式2】職員名簿!B103&amp;"/"&amp;AV71&amp;"/"&amp;AW71,"")</f>
        <v xml:space="preserve">64 </v>
      </c>
      <c r="AV71" s="1081">
        <f>【様式2】職員名簿!E103</f>
        <v>0</v>
      </c>
      <c r="AW71" s="1081" t="str">
        <f>IF(【様式2】職員名簿!J103="エラー","-",IF(AND(【様式2】職員名簿!C103=$AW$3,【様式2】職員名簿!J103=$AW$4),$AW$3,【様式2】職員名簿!J103))</f>
        <v>-</v>
      </c>
      <c r="AX71" s="392">
        <f>IF($AV71="常勤",$AM$2,IF($AV71="非常勤",【様式2】職員名簿!G103,0))</f>
        <v>0</v>
      </c>
      <c r="AY71" s="415">
        <f>IF($AW71=AY$3,COUNTIF($AW$8:$AW71,AY$3),0)</f>
        <v>0</v>
      </c>
      <c r="AZ71" s="416" t="str">
        <f t="shared" si="49"/>
        <v/>
      </c>
      <c r="BA71" s="388">
        <f>IF(OR($AW71=BA$3,$AW71=BA$4),COUNTIF($AW$8:$AW71,BA$3)+COUNTIF($AW$8:$AW71,BA$4),0)</f>
        <v>0</v>
      </c>
      <c r="BB71" s="416" t="str">
        <f t="shared" si="50"/>
        <v/>
      </c>
      <c r="BC71" s="418">
        <f>IF($AW71=BC$3,COUNTIF($AW$8:$AW71,BC$3),0)</f>
        <v>0</v>
      </c>
      <c r="BD71" s="416" t="str">
        <f t="shared" si="51"/>
        <v/>
      </c>
      <c r="BE71" s="388">
        <f>IF(OR($AW71=BE$3,$AW71=BE$4),COUNTIF($AW$8:$AW71,BE$3)+COUNTIF($AW$8:$AW71,BE$4),0)</f>
        <v>0</v>
      </c>
      <c r="BF71" s="416" t="str">
        <f t="shared" si="52"/>
        <v/>
      </c>
      <c r="BG71" s="388">
        <f>IF($AW71=BG$4,COUNTIFS($AV$8:$AV71,BG$3,$AW$8:$AW71,BG$4),0)</f>
        <v>0</v>
      </c>
      <c r="BH71" s="416" t="str">
        <f t="shared" si="53"/>
        <v/>
      </c>
      <c r="BI71" s="388">
        <f>IF($AW71=BI$3,COUNTIF($AW$8:$AW71,BI$3),0)</f>
        <v>0</v>
      </c>
      <c r="BJ71" s="416" t="str">
        <f t="shared" si="54"/>
        <v/>
      </c>
      <c r="BK71" s="388">
        <f>IF($AW71=BK$3,COUNTIF($AW$8:$AW71,BK$3),0)</f>
        <v>0</v>
      </c>
      <c r="BL71" s="416" t="str">
        <f t="shared" si="55"/>
        <v/>
      </c>
      <c r="BM71" s="388">
        <f>IF($AW71&lt;&gt;BM$3,COUNTIF($AW$8:$AW71,"&lt;&gt;"&amp;BM$3),0)</f>
        <v>0</v>
      </c>
      <c r="BN71" s="416" t="str">
        <f t="shared" si="56"/>
        <v/>
      </c>
      <c r="BO71" s="388">
        <f>IF($AW71=BO$3,COUNTIF($AW$8:$AW71,BO$3),0)</f>
        <v>0</v>
      </c>
      <c r="BP71" s="416" t="str">
        <f t="shared" si="57"/>
        <v/>
      </c>
      <c r="BQ71" s="381"/>
      <c r="BR71" s="381"/>
    </row>
    <row r="72" spans="1:70" ht="15" hidden="1" customHeight="1" outlineLevel="1" thickBot="1">
      <c r="A72" s="2544"/>
      <c r="B72" s="2394" t="s">
        <v>690</v>
      </c>
      <c r="C72" s="2386" t="s">
        <v>695</v>
      </c>
      <c r="D72" s="2387"/>
      <c r="E72" s="2360" t="s">
        <v>758</v>
      </c>
      <c r="F72" s="2360"/>
      <c r="G72" s="2360"/>
      <c r="H72" s="2405" t="s">
        <v>759</v>
      </c>
      <c r="I72" s="622"/>
      <c r="J72" s="622"/>
      <c r="K72" s="622"/>
      <c r="L72" s="601"/>
      <c r="M72" s="601"/>
      <c r="N72" s="601"/>
      <c r="O72" s="601"/>
      <c r="P72" s="230"/>
      <c r="Q72" s="2470" t="s">
        <v>854</v>
      </c>
      <c r="R72" s="2471"/>
      <c r="S72" s="2471"/>
      <c r="T72" s="2471"/>
      <c r="U72" s="2471"/>
      <c r="V72" s="2471"/>
      <c r="W72" s="2471"/>
      <c r="X72" s="2471"/>
      <c r="Y72" s="2471"/>
      <c r="Z72" s="2471"/>
      <c r="AA72" s="2471"/>
      <c r="AB72" s="2471"/>
      <c r="AC72" s="2471"/>
      <c r="AD72" s="2471"/>
      <c r="AE72" s="2471"/>
      <c r="AF72" s="2471"/>
      <c r="AG72" s="2471"/>
      <c r="AH72" s="2471"/>
      <c r="AI72" s="2471"/>
      <c r="AJ72" s="2472"/>
      <c r="AK72" s="386"/>
      <c r="AQ72" s="240"/>
      <c r="AR72" s="240"/>
      <c r="AS72" s="240"/>
      <c r="AT72" s="388">
        <f t="shared" ref="AT72:AT107" si="78">ROW()-ROW($AT$7)</f>
        <v>65</v>
      </c>
      <c r="AU72" s="1081" t="str">
        <f>AT72&amp;" "&amp;IF(AW72&lt;&gt;"-",【様式2】職員名簿!B104&amp;"/"&amp;AV72&amp;"/"&amp;AW72,"")</f>
        <v xml:space="preserve">65 </v>
      </c>
      <c r="AV72" s="1081">
        <f>【様式2】職員名簿!E104</f>
        <v>0</v>
      </c>
      <c r="AW72" s="1081" t="str">
        <f>IF(【様式2】職員名簿!J104="エラー","-",IF(AND(【様式2】職員名簿!C104=$AW$3,【様式2】職員名簿!J104=$AW$4),$AW$3,【様式2】職員名簿!J104))</f>
        <v>-</v>
      </c>
      <c r="AX72" s="392">
        <f>IF($AV72="常勤",$AM$2,IF($AV72="非常勤",【様式2】職員名簿!G104,0))</f>
        <v>0</v>
      </c>
      <c r="AY72" s="415">
        <f>IF($AW72=AY$3,COUNTIF($AW$8:$AW72,AY$3),0)</f>
        <v>0</v>
      </c>
      <c r="AZ72" s="416" t="str">
        <f t="shared" ref="AZ72:AZ103" si="79">IFERROR(INDEX($AU$8:$AU$107,MATCH($AT72,AY$8:AY$107,0),1),"")</f>
        <v/>
      </c>
      <c r="BA72" s="388">
        <f>IF(OR($AW72=BA$3,$AW72=BA$4),COUNTIF($AW$8:$AW72,BA$3)+COUNTIF($AW$8:$AW72,BA$4),0)</f>
        <v>0</v>
      </c>
      <c r="BB72" s="416" t="str">
        <f t="shared" ref="BB72:BB103" si="80">IFERROR(INDEX($AU$8:$AU$107,MATCH($AT72,BA$8:BA$107,0),1),"")</f>
        <v/>
      </c>
      <c r="BC72" s="418">
        <f>IF($AW72=BC$3,COUNTIF($AW$8:$AW72,BC$3),0)</f>
        <v>0</v>
      </c>
      <c r="BD72" s="416" t="str">
        <f t="shared" ref="BD72:BD103" si="81">IFERROR(INDEX($AU$8:$AU$107,MATCH($AT72,BC$8:BC$107,0),1),"")</f>
        <v/>
      </c>
      <c r="BE72" s="388">
        <f>IF(OR($AW72=BE$3,$AW72=BE$4),COUNTIF($AW$8:$AW72,BE$3)+COUNTIF($AW$8:$AW72,BE$4),0)</f>
        <v>0</v>
      </c>
      <c r="BF72" s="416" t="str">
        <f t="shared" ref="BF72:BF103" si="82">IFERROR(INDEX($AU$8:$AU$107,MATCH($AT72,BE$8:BE$107,0),1),"")</f>
        <v/>
      </c>
      <c r="BG72" s="388">
        <f>IF($AW72=BG$4,COUNTIFS($AV$8:$AV72,BG$3,$AW$8:$AW72,BG$4),0)</f>
        <v>0</v>
      </c>
      <c r="BH72" s="416" t="str">
        <f t="shared" ref="BH72:BH103" si="83">IFERROR(INDEX($AU$8:$AU$107,MATCH($AT72,BG$8:BG$107,0),1),"")</f>
        <v/>
      </c>
      <c r="BI72" s="388">
        <f>IF($AW72=BI$3,COUNTIF($AW$8:$AW72,BI$3),0)</f>
        <v>0</v>
      </c>
      <c r="BJ72" s="416" t="str">
        <f t="shared" ref="BJ72:BJ103" si="84">IFERROR(INDEX($AU$8:$AU$107,MATCH($AT72,BI$8:BI$107,0),1),"")</f>
        <v/>
      </c>
      <c r="BK72" s="388">
        <f>IF($AW72=BK$3,COUNTIF($AW$8:$AW72,BK$3),0)</f>
        <v>0</v>
      </c>
      <c r="BL72" s="416" t="str">
        <f t="shared" ref="BL72:BL103" si="85">IFERROR(INDEX($AU$8:$AU$107,MATCH($AT72,BK$8:BK$107,0),1),"")</f>
        <v/>
      </c>
      <c r="BM72" s="388">
        <f>IF($AW72&lt;&gt;BM$3,COUNTIF($AW$8:$AW72,"&lt;&gt;"&amp;BM$3),0)</f>
        <v>0</v>
      </c>
      <c r="BN72" s="416" t="str">
        <f t="shared" ref="BN72:BN103" si="86">IFERROR(INDEX($AU$8:$AU$107,MATCH($AT72,BM$8:BM$107,0),1),"")</f>
        <v/>
      </c>
      <c r="BO72" s="388">
        <f>IF($AW72=BO$3,COUNTIF($AW$8:$AW72,BO$3),0)</f>
        <v>0</v>
      </c>
      <c r="BP72" s="416" t="str">
        <f t="shared" ref="BP72:BP103" si="87">IFERROR(INDEX($AU$8:$AU$107,MATCH($AT72,BO$8:BO$107,0),1),"")</f>
        <v/>
      </c>
      <c r="BQ72" s="381"/>
      <c r="BR72" s="381"/>
    </row>
    <row r="73" spans="1:70" ht="15" hidden="1" customHeight="1" outlineLevel="1">
      <c r="A73" s="2544"/>
      <c r="B73" s="2395"/>
      <c r="C73" s="2128" t="s">
        <v>174</v>
      </c>
      <c r="D73" s="2128" t="s">
        <v>788</v>
      </c>
      <c r="E73" s="2546" t="s">
        <v>1007</v>
      </c>
      <c r="F73" s="2546"/>
      <c r="G73" s="2360" t="s">
        <v>1008</v>
      </c>
      <c r="H73" s="2405"/>
      <c r="I73" s="622"/>
      <c r="J73" s="622"/>
      <c r="K73" s="622"/>
      <c r="L73" s="601"/>
      <c r="M73" s="601"/>
      <c r="N73" s="601"/>
      <c r="O73" s="601"/>
      <c r="P73" s="230"/>
      <c r="Q73" s="574" t="s">
        <v>855</v>
      </c>
      <c r="R73" s="575"/>
      <c r="S73" s="575"/>
      <c r="T73" s="575"/>
      <c r="U73" s="576"/>
      <c r="V73" s="576"/>
      <c r="W73" s="576"/>
      <c r="X73" s="576"/>
      <c r="Y73" s="576"/>
      <c r="Z73" s="576"/>
      <c r="AA73" s="576"/>
      <c r="AB73" s="576"/>
      <c r="AC73" s="576"/>
      <c r="AD73" s="576"/>
      <c r="AE73" s="576"/>
      <c r="AF73" s="575"/>
      <c r="AG73" s="575"/>
      <c r="AH73" s="575"/>
      <c r="AI73" s="575"/>
      <c r="AJ73" s="509"/>
      <c r="AK73" s="386"/>
      <c r="AP73" s="240"/>
      <c r="AQ73" s="240"/>
      <c r="AR73" s="240"/>
      <c r="AS73" s="240"/>
      <c r="AT73" s="388">
        <f t="shared" si="78"/>
        <v>66</v>
      </c>
      <c r="AU73" s="1081" t="str">
        <f>AT73&amp;" "&amp;IF(AW73&lt;&gt;"-",【様式2】職員名簿!B105&amp;"/"&amp;AV73&amp;"/"&amp;AW73,"")</f>
        <v xml:space="preserve">66 </v>
      </c>
      <c r="AV73" s="1081">
        <f>【様式2】職員名簿!E105</f>
        <v>0</v>
      </c>
      <c r="AW73" s="1081" t="str">
        <f>IF(【様式2】職員名簿!J105="エラー","-",IF(AND(【様式2】職員名簿!C105=$AW$3,【様式2】職員名簿!J105=$AW$4),$AW$3,【様式2】職員名簿!J105))</f>
        <v>-</v>
      </c>
      <c r="AX73" s="392">
        <f>IF($AV73="常勤",$AM$2,IF($AV73="非常勤",【様式2】職員名簿!G105,0))</f>
        <v>0</v>
      </c>
      <c r="AY73" s="415">
        <f>IF($AW73=AY$3,COUNTIF($AW$8:$AW73,AY$3),0)</f>
        <v>0</v>
      </c>
      <c r="AZ73" s="416" t="str">
        <f t="shared" si="79"/>
        <v/>
      </c>
      <c r="BA73" s="388">
        <f>IF(OR($AW73=BA$3,$AW73=BA$4),COUNTIF($AW$8:$AW73,BA$3)+COUNTIF($AW$8:$AW73,BA$4),0)</f>
        <v>0</v>
      </c>
      <c r="BB73" s="416" t="str">
        <f t="shared" si="80"/>
        <v/>
      </c>
      <c r="BC73" s="418">
        <f>IF($AW73=BC$3,COUNTIF($AW$8:$AW73,BC$3),0)</f>
        <v>0</v>
      </c>
      <c r="BD73" s="416" t="str">
        <f t="shared" si="81"/>
        <v/>
      </c>
      <c r="BE73" s="388">
        <f>IF(OR($AW73=BE$3,$AW73=BE$4),COUNTIF($AW$8:$AW73,BE$3)+COUNTIF($AW$8:$AW73,BE$4),0)</f>
        <v>0</v>
      </c>
      <c r="BF73" s="416" t="str">
        <f t="shared" si="82"/>
        <v/>
      </c>
      <c r="BG73" s="388">
        <f>IF($AW73=BG$4,COUNTIFS($AV$8:$AV73,BG$3,$AW$8:$AW73,BG$4),0)</f>
        <v>0</v>
      </c>
      <c r="BH73" s="416" t="str">
        <f t="shared" si="83"/>
        <v/>
      </c>
      <c r="BI73" s="388">
        <f>IF($AW73=BI$3,COUNTIF($AW$8:$AW73,BI$3),0)</f>
        <v>0</v>
      </c>
      <c r="BJ73" s="416" t="str">
        <f t="shared" si="84"/>
        <v/>
      </c>
      <c r="BK73" s="388">
        <f>IF($AW73=BK$3,COUNTIF($AW$8:$AW73,BK$3),0)</f>
        <v>0</v>
      </c>
      <c r="BL73" s="416" t="str">
        <f t="shared" si="85"/>
        <v/>
      </c>
      <c r="BM73" s="388">
        <f>IF($AW73&lt;&gt;BM$3,COUNTIF($AW$8:$AW73,"&lt;&gt;"&amp;BM$3),0)</f>
        <v>0</v>
      </c>
      <c r="BN73" s="416" t="str">
        <f t="shared" si="86"/>
        <v/>
      </c>
      <c r="BO73" s="388">
        <f>IF($AW73=BO$3,COUNTIF($AW$8:$AW73,BO$3),0)</f>
        <v>0</v>
      </c>
      <c r="BP73" s="416" t="str">
        <f t="shared" si="87"/>
        <v/>
      </c>
      <c r="BQ73" s="381"/>
      <c r="BR73" s="381"/>
    </row>
    <row r="74" spans="1:70" ht="15" hidden="1" customHeight="1" outlineLevel="1" thickBot="1">
      <c r="A74" s="2545"/>
      <c r="B74" s="2396"/>
      <c r="C74" s="2130"/>
      <c r="D74" s="2130"/>
      <c r="E74" s="334" t="s">
        <v>833</v>
      </c>
      <c r="F74" s="334" t="s">
        <v>834</v>
      </c>
      <c r="G74" s="2361"/>
      <c r="H74" s="2406"/>
      <c r="I74" s="622"/>
      <c r="J74" s="622"/>
      <c r="K74" s="622"/>
      <c r="L74" s="601"/>
      <c r="M74" s="601"/>
      <c r="N74" s="601"/>
      <c r="O74" s="601"/>
      <c r="P74" s="230"/>
      <c r="Q74" s="577" t="s">
        <v>856</v>
      </c>
      <c r="R74" s="578"/>
      <c r="S74" s="578"/>
      <c r="T74" s="578"/>
      <c r="U74" s="578"/>
      <c r="V74" s="578"/>
      <c r="W74" s="578"/>
      <c r="X74" s="578"/>
      <c r="Y74" s="579"/>
      <c r="Z74" s="579"/>
      <c r="AA74" s="579"/>
      <c r="AB74" s="579"/>
      <c r="AC74" s="579"/>
      <c r="AD74" s="578"/>
      <c r="AE74" s="578"/>
      <c r="AF74" s="579"/>
      <c r="AG74" s="579"/>
      <c r="AH74" s="579"/>
      <c r="AI74" s="579"/>
      <c r="AJ74" s="580"/>
      <c r="AP74" s="240"/>
      <c r="AQ74" s="240"/>
      <c r="AR74" s="240"/>
      <c r="AS74" s="240"/>
      <c r="AT74" s="388">
        <f t="shared" si="78"/>
        <v>67</v>
      </c>
      <c r="AU74" s="1081" t="str">
        <f>AT74&amp;" "&amp;IF(AW74&lt;&gt;"-",【様式2】職員名簿!B106&amp;"/"&amp;AV74&amp;"/"&amp;AW74,"")</f>
        <v xml:space="preserve">67 </v>
      </c>
      <c r="AV74" s="1081">
        <f>【様式2】職員名簿!E106</f>
        <v>0</v>
      </c>
      <c r="AW74" s="1081" t="str">
        <f>IF(【様式2】職員名簿!J106="エラー","-",IF(AND(【様式2】職員名簿!C106=$AW$3,【様式2】職員名簿!J106=$AW$4),$AW$3,【様式2】職員名簿!J106))</f>
        <v>-</v>
      </c>
      <c r="AX74" s="392">
        <f>IF($AV74="常勤",$AM$2,IF($AV74="非常勤",【様式2】職員名簿!G106,0))</f>
        <v>0</v>
      </c>
      <c r="AY74" s="415">
        <f>IF($AW74=AY$3,COUNTIF($AW$8:$AW74,AY$3),0)</f>
        <v>0</v>
      </c>
      <c r="AZ74" s="416" t="str">
        <f t="shared" si="79"/>
        <v/>
      </c>
      <c r="BA74" s="388">
        <f>IF(OR($AW74=BA$3,$AW74=BA$4),COUNTIF($AW$8:$AW74,BA$3)+COUNTIF($AW$8:$AW74,BA$4),0)</f>
        <v>0</v>
      </c>
      <c r="BB74" s="416" t="str">
        <f t="shared" si="80"/>
        <v/>
      </c>
      <c r="BC74" s="418">
        <f>IF($AW74=BC$3,COUNTIF($AW$8:$AW74,BC$3),0)</f>
        <v>0</v>
      </c>
      <c r="BD74" s="416" t="str">
        <f t="shared" si="81"/>
        <v/>
      </c>
      <c r="BE74" s="388">
        <f>IF(OR($AW74=BE$3,$AW74=BE$4),COUNTIF($AW$8:$AW74,BE$3)+COUNTIF($AW$8:$AW74,BE$4),0)</f>
        <v>0</v>
      </c>
      <c r="BF74" s="416" t="str">
        <f t="shared" si="82"/>
        <v/>
      </c>
      <c r="BG74" s="388">
        <f>IF($AW74=BG$4,COUNTIFS($AV$8:$AV74,BG$3,$AW$8:$AW74,BG$4),0)</f>
        <v>0</v>
      </c>
      <c r="BH74" s="416" t="str">
        <f t="shared" si="83"/>
        <v/>
      </c>
      <c r="BI74" s="388">
        <f>IF($AW74=BI$3,COUNTIF($AW$8:$AW74,BI$3),0)</f>
        <v>0</v>
      </c>
      <c r="BJ74" s="416" t="str">
        <f t="shared" si="84"/>
        <v/>
      </c>
      <c r="BK74" s="388">
        <f>IF($AW74=BK$3,COUNTIF($AW$8:$AW74,BK$3),0)</f>
        <v>0</v>
      </c>
      <c r="BL74" s="416" t="str">
        <f t="shared" si="85"/>
        <v/>
      </c>
      <c r="BM74" s="388">
        <f>IF($AW74&lt;&gt;BM$3,COUNTIF($AW$8:$AW74,"&lt;&gt;"&amp;BM$3),0)</f>
        <v>0</v>
      </c>
      <c r="BN74" s="416" t="str">
        <f t="shared" si="86"/>
        <v/>
      </c>
      <c r="BO74" s="388">
        <f>IF($AW74=BO$3,COUNTIF($AW$8:$AW74,BO$3),0)</f>
        <v>0</v>
      </c>
      <c r="BP74" s="416" t="str">
        <f t="shared" si="87"/>
        <v/>
      </c>
      <c r="BQ74" s="381"/>
      <c r="BR74" s="381"/>
    </row>
    <row r="75" spans="1:70" ht="15" hidden="1" customHeight="1" outlineLevel="1">
      <c r="A75" s="630" t="str">
        <f t="shared" ref="A75" si="88">AS2</f>
        <v>施設長</v>
      </c>
      <c r="B75" s="631">
        <f>【様式2】職員名簿!J11</f>
        <v>0</v>
      </c>
      <c r="C75" s="632"/>
      <c r="D75" s="379"/>
      <c r="E75" s="379"/>
      <c r="F75" s="380"/>
      <c r="G75" s="380"/>
      <c r="H75" s="625">
        <f>B75-SUM($C75:$G75)</f>
        <v>0</v>
      </c>
      <c r="I75" s="623"/>
      <c r="J75" s="623"/>
      <c r="K75" s="623"/>
      <c r="L75" s="601"/>
      <c r="M75" s="601"/>
      <c r="N75" s="601"/>
      <c r="O75" s="601"/>
      <c r="P75" s="230"/>
      <c r="Q75" s="2134" t="s">
        <v>688</v>
      </c>
      <c r="R75" s="2136"/>
      <c r="S75" s="585"/>
      <c r="T75" s="2152" t="s">
        <v>712</v>
      </c>
      <c r="U75" s="2473"/>
      <c r="V75" s="2134" t="s">
        <v>800</v>
      </c>
      <c r="W75" s="2135"/>
      <c r="X75" s="2135"/>
      <c r="Y75" s="2135"/>
      <c r="Z75" s="2135"/>
      <c r="AA75" s="2135"/>
      <c r="AB75" s="2135"/>
      <c r="AC75" s="2135"/>
      <c r="AD75" s="2135"/>
      <c r="AE75" s="2136"/>
      <c r="AF75" s="2134" t="s">
        <v>689</v>
      </c>
      <c r="AG75" s="2136"/>
      <c r="AH75" s="2141" t="s">
        <v>835</v>
      </c>
      <c r="AI75" s="2142"/>
      <c r="AJ75" s="2143"/>
      <c r="AP75" s="240"/>
      <c r="AQ75" s="240"/>
      <c r="AR75" s="240"/>
      <c r="AS75" s="240"/>
      <c r="AT75" s="388">
        <f t="shared" si="78"/>
        <v>68</v>
      </c>
      <c r="AU75" s="1081" t="str">
        <f>AT75&amp;" "&amp;IF(AW75&lt;&gt;"-",【様式2】職員名簿!B107&amp;"/"&amp;AV75&amp;"/"&amp;AW75,"")</f>
        <v xml:space="preserve">68 </v>
      </c>
      <c r="AV75" s="1081">
        <f>【様式2】職員名簿!E107</f>
        <v>0</v>
      </c>
      <c r="AW75" s="1081" t="str">
        <f>IF(【様式2】職員名簿!J107="エラー","-",IF(AND(【様式2】職員名簿!C107=$AW$3,【様式2】職員名簿!J107=$AW$4),$AW$3,【様式2】職員名簿!J107))</f>
        <v>-</v>
      </c>
      <c r="AX75" s="392">
        <f>IF($AV75="常勤",$AM$2,IF($AV75="非常勤",【様式2】職員名簿!G107,0))</f>
        <v>0</v>
      </c>
      <c r="AY75" s="415">
        <f>IF($AW75=AY$3,COUNTIF($AW$8:$AW75,AY$3),0)</f>
        <v>0</v>
      </c>
      <c r="AZ75" s="416" t="str">
        <f t="shared" si="79"/>
        <v/>
      </c>
      <c r="BA75" s="388">
        <f>IF(OR($AW75=BA$3,$AW75=BA$4),COUNTIF($AW$8:$AW75,BA$3)+COUNTIF($AW$8:$AW75,BA$4),0)</f>
        <v>0</v>
      </c>
      <c r="BB75" s="416" t="str">
        <f t="shared" si="80"/>
        <v/>
      </c>
      <c r="BC75" s="418">
        <f>IF($AW75=BC$3,COUNTIF($AW$8:$AW75,BC$3),0)</f>
        <v>0</v>
      </c>
      <c r="BD75" s="416" t="str">
        <f t="shared" si="81"/>
        <v/>
      </c>
      <c r="BE75" s="388">
        <f>IF(OR($AW75=BE$3,$AW75=BE$4),COUNTIF($AW$8:$AW75,BE$3)+COUNTIF($AW$8:$AW75,BE$4),0)</f>
        <v>0</v>
      </c>
      <c r="BF75" s="416" t="str">
        <f t="shared" si="82"/>
        <v/>
      </c>
      <c r="BG75" s="388">
        <f>IF($AW75=BG$4,COUNTIFS($AV$8:$AV75,BG$3,$AW$8:$AW75,BG$4),0)</f>
        <v>0</v>
      </c>
      <c r="BH75" s="416" t="str">
        <f t="shared" si="83"/>
        <v/>
      </c>
      <c r="BI75" s="388">
        <f>IF($AW75=BI$3,COUNTIF($AW$8:$AW75,BI$3),0)</f>
        <v>0</v>
      </c>
      <c r="BJ75" s="416" t="str">
        <f t="shared" si="84"/>
        <v/>
      </c>
      <c r="BK75" s="388">
        <f>IF($AW75=BK$3,COUNTIF($AW$8:$AW75,BK$3),0)</f>
        <v>0</v>
      </c>
      <c r="BL75" s="416" t="str">
        <f t="shared" si="85"/>
        <v/>
      </c>
      <c r="BM75" s="388">
        <f>IF($AW75&lt;&gt;BM$3,COUNTIF($AW$8:$AW75,"&lt;&gt;"&amp;BM$3),0)</f>
        <v>0</v>
      </c>
      <c r="BN75" s="416" t="str">
        <f t="shared" si="86"/>
        <v/>
      </c>
      <c r="BO75" s="388">
        <f>IF($AW75=BO$3,COUNTIF($AW$8:$AW75,BO$3),0)</f>
        <v>0</v>
      </c>
      <c r="BP75" s="416" t="str">
        <f t="shared" si="87"/>
        <v/>
      </c>
      <c r="BQ75" s="381"/>
      <c r="BR75" s="381"/>
    </row>
    <row r="76" spans="1:70" ht="15" hidden="1" customHeight="1" outlineLevel="1" thickBot="1">
      <c r="A76" s="633" t="str">
        <f t="shared" ref="A76:A82" si="89">AS4</f>
        <v>教諭（発令有）</v>
      </c>
      <c r="B76" s="634">
        <f>【様式2】職員名簿!J12</f>
        <v>0</v>
      </c>
      <c r="C76" s="635">
        <f>SUMIF($AF$16:$AF$42,$A76,$AG$16:$AG$42)+SUMIF($AF$16:$AF$42,$AS$3,$AG$16:$AG$42)</f>
        <v>0</v>
      </c>
      <c r="D76" s="636">
        <f>SUMIF($AF$46:$AF$68,$A76,$AG$46:$AG$68)+SUMIF($AF$46:$AF$68,$AS$3,$AG$46:$AG$68)</f>
        <v>0</v>
      </c>
      <c r="E76" s="1097"/>
      <c r="F76" s="1098"/>
      <c r="G76" s="1083"/>
      <c r="H76" s="626">
        <f>B76-SUM($C76:$G76)</f>
        <v>0</v>
      </c>
      <c r="I76" s="624" t="s">
        <v>812</v>
      </c>
      <c r="J76" s="623"/>
      <c r="K76" s="623"/>
      <c r="L76" s="601"/>
      <c r="M76" s="601"/>
      <c r="N76" s="601"/>
      <c r="O76" s="601"/>
      <c r="P76" s="230"/>
      <c r="Q76" s="2150"/>
      <c r="R76" s="2151"/>
      <c r="S76" s="586"/>
      <c r="T76" s="2153"/>
      <c r="U76" s="2474"/>
      <c r="V76" s="2451" t="s">
        <v>828</v>
      </c>
      <c r="W76" s="2161" t="s">
        <v>816</v>
      </c>
      <c r="X76" s="2468" t="s">
        <v>818</v>
      </c>
      <c r="Y76" s="2447" t="s">
        <v>817</v>
      </c>
      <c r="Z76" s="2447"/>
      <c r="AA76" s="2447"/>
      <c r="AB76" s="2447"/>
      <c r="AC76" s="2448"/>
      <c r="AD76" s="2161" t="s">
        <v>825</v>
      </c>
      <c r="AE76" s="2151" t="s">
        <v>806</v>
      </c>
      <c r="AF76" s="2150"/>
      <c r="AG76" s="2151"/>
      <c r="AH76" s="2132" t="s">
        <v>836</v>
      </c>
      <c r="AI76" s="2137" t="s">
        <v>860</v>
      </c>
      <c r="AJ76" s="2445"/>
      <c r="AM76" s="386"/>
      <c r="AP76" s="240"/>
      <c r="AQ76" s="240"/>
      <c r="AR76" s="240"/>
      <c r="AS76" s="240"/>
      <c r="AT76" s="388">
        <f t="shared" si="78"/>
        <v>69</v>
      </c>
      <c r="AU76" s="1081" t="str">
        <f>AT76&amp;" "&amp;IF(AW76&lt;&gt;"-",【様式2】職員名簿!B108&amp;"/"&amp;AV76&amp;"/"&amp;AW76,"")</f>
        <v xml:space="preserve">69 </v>
      </c>
      <c r="AV76" s="1081">
        <f>【様式2】職員名簿!E108</f>
        <v>0</v>
      </c>
      <c r="AW76" s="1081" t="str">
        <f>IF(【様式2】職員名簿!J108="エラー","-",IF(AND(【様式2】職員名簿!C108=$AW$3,【様式2】職員名簿!J108=$AW$4),$AW$3,【様式2】職員名簿!J108))</f>
        <v>-</v>
      </c>
      <c r="AX76" s="392">
        <f>IF($AV76="常勤",$AM$2,IF($AV76="非常勤",【様式2】職員名簿!G108,0))</f>
        <v>0</v>
      </c>
      <c r="AY76" s="415">
        <f>IF($AW76=AY$3,COUNTIF($AW$8:$AW76,AY$3),0)</f>
        <v>0</v>
      </c>
      <c r="AZ76" s="416" t="str">
        <f t="shared" si="79"/>
        <v/>
      </c>
      <c r="BA76" s="388">
        <f>IF(OR($AW76=BA$3,$AW76=BA$4),COUNTIF($AW$8:$AW76,BA$3)+COUNTIF($AW$8:$AW76,BA$4),0)</f>
        <v>0</v>
      </c>
      <c r="BB76" s="416" t="str">
        <f t="shared" si="80"/>
        <v/>
      </c>
      <c r="BC76" s="418">
        <f>IF($AW76=BC$3,COUNTIF($AW$8:$AW76,BC$3),0)</f>
        <v>0</v>
      </c>
      <c r="BD76" s="416" t="str">
        <f t="shared" si="81"/>
        <v/>
      </c>
      <c r="BE76" s="388">
        <f>IF(OR($AW76=BE$3,$AW76=BE$4),COUNTIF($AW$8:$AW76,BE$3)+COUNTIF($AW$8:$AW76,BE$4),0)</f>
        <v>0</v>
      </c>
      <c r="BF76" s="416" t="str">
        <f t="shared" si="82"/>
        <v/>
      </c>
      <c r="BG76" s="388">
        <f>IF($AW76=BG$4,COUNTIFS($AV$8:$AV76,BG$3,$AW$8:$AW76,BG$4),0)</f>
        <v>0</v>
      </c>
      <c r="BH76" s="416" t="str">
        <f t="shared" si="83"/>
        <v/>
      </c>
      <c r="BI76" s="388">
        <f>IF($AW76=BI$3,COUNTIF($AW$8:$AW76,BI$3),0)</f>
        <v>0</v>
      </c>
      <c r="BJ76" s="416" t="str">
        <f t="shared" si="84"/>
        <v/>
      </c>
      <c r="BK76" s="388">
        <f>IF($AW76=BK$3,COUNTIF($AW$8:$AW76,BK$3),0)</f>
        <v>0</v>
      </c>
      <c r="BL76" s="416" t="str">
        <f t="shared" si="85"/>
        <v/>
      </c>
      <c r="BM76" s="388">
        <f>IF($AW76&lt;&gt;BM$3,COUNTIF($AW$8:$AW76,"&lt;&gt;"&amp;BM$3),0)</f>
        <v>0</v>
      </c>
      <c r="BN76" s="416" t="str">
        <f t="shared" si="86"/>
        <v/>
      </c>
      <c r="BO76" s="388">
        <f>IF($AW76=BO$3,COUNTIF($AW$8:$AW76,BO$3),0)</f>
        <v>0</v>
      </c>
      <c r="BP76" s="416" t="str">
        <f t="shared" si="87"/>
        <v/>
      </c>
      <c r="BQ76" s="381"/>
      <c r="BR76" s="381"/>
    </row>
    <row r="77" spans="1:70" ht="15" hidden="1" customHeight="1" outlineLevel="1" thickBot="1">
      <c r="A77" s="637" t="str">
        <f t="shared" si="89"/>
        <v>教諭（発令無）</v>
      </c>
      <c r="B77" s="638">
        <f>【様式2】職員名簿!J13</f>
        <v>0</v>
      </c>
      <c r="C77" s="639">
        <f t="shared" ref="C77:C82" si="90">SUMIF($AF$16:$AF$42,$A77,$AG$16:$AG$42)</f>
        <v>0</v>
      </c>
      <c r="D77" s="1003">
        <f t="shared" ref="D77:D82" si="91">SUMIF($AF$46:$AF$68,$A77,$AG$46:$AG$68)</f>
        <v>0</v>
      </c>
      <c r="E77" s="1099"/>
      <c r="F77" s="1100"/>
      <c r="G77" s="649"/>
      <c r="H77" s="626">
        <f>B77-SUM($C77:$G77)</f>
        <v>0</v>
      </c>
      <c r="I77" s="624" t="s">
        <v>813</v>
      </c>
      <c r="J77" s="623"/>
      <c r="K77" s="623"/>
      <c r="L77" s="601"/>
      <c r="M77" s="601"/>
      <c r="N77" s="601"/>
      <c r="O77" s="601"/>
      <c r="P77" s="230"/>
      <c r="Q77" s="565" t="s">
        <v>166</v>
      </c>
      <c r="R77" s="566" t="s">
        <v>715</v>
      </c>
      <c r="S77" s="587"/>
      <c r="T77" s="2154"/>
      <c r="U77" s="2475"/>
      <c r="V77" s="2452"/>
      <c r="W77" s="2162"/>
      <c r="X77" s="2469"/>
      <c r="Y77" s="567" t="s">
        <v>820</v>
      </c>
      <c r="Z77" s="2453" t="s">
        <v>847</v>
      </c>
      <c r="AA77" s="2453"/>
      <c r="AB77" s="2454"/>
      <c r="AC77" s="2461" t="s">
        <v>848</v>
      </c>
      <c r="AD77" s="2449"/>
      <c r="AE77" s="2450"/>
      <c r="AF77" s="565" t="s">
        <v>131</v>
      </c>
      <c r="AG77" s="566" t="s">
        <v>727</v>
      </c>
      <c r="AH77" s="2133"/>
      <c r="AI77" s="2138"/>
      <c r="AJ77" s="2446"/>
      <c r="AP77" s="240"/>
      <c r="AQ77" s="240"/>
      <c r="AR77" s="240"/>
      <c r="AS77" s="240"/>
      <c r="AT77" s="388">
        <f t="shared" si="78"/>
        <v>70</v>
      </c>
      <c r="AU77" s="1081" t="str">
        <f>AT77&amp;" "&amp;IF(AW77&lt;&gt;"-",【様式2】職員名簿!B109&amp;"/"&amp;AV77&amp;"/"&amp;AW77,"")</f>
        <v xml:space="preserve">70 </v>
      </c>
      <c r="AV77" s="1081">
        <f>【様式2】職員名簿!E109</f>
        <v>0</v>
      </c>
      <c r="AW77" s="1081" t="str">
        <f>IF(【様式2】職員名簿!J109="エラー","-",IF(AND(【様式2】職員名簿!C109=$AW$3,【様式2】職員名簿!J109=$AW$4),$AW$3,【様式2】職員名簿!J109))</f>
        <v>-</v>
      </c>
      <c r="AX77" s="392">
        <f>IF($AV77="常勤",$AM$2,IF($AV77="非常勤",【様式2】職員名簿!G109,0))</f>
        <v>0</v>
      </c>
      <c r="AY77" s="415">
        <f>IF($AW77=AY$3,COUNTIF($AW$8:$AW77,AY$3),0)</f>
        <v>0</v>
      </c>
      <c r="AZ77" s="416" t="str">
        <f t="shared" si="79"/>
        <v/>
      </c>
      <c r="BA77" s="388">
        <f>IF(OR($AW77=BA$3,$AW77=BA$4),COUNTIF($AW$8:$AW77,BA$3)+COUNTIF($AW$8:$AW77,BA$4),0)</f>
        <v>0</v>
      </c>
      <c r="BB77" s="416" t="str">
        <f t="shared" si="80"/>
        <v/>
      </c>
      <c r="BC77" s="418">
        <f>IF($AW77=BC$3,COUNTIF($AW$8:$AW77,BC$3),0)</f>
        <v>0</v>
      </c>
      <c r="BD77" s="416" t="str">
        <f t="shared" si="81"/>
        <v/>
      </c>
      <c r="BE77" s="388">
        <f>IF(OR($AW77=BE$3,$AW77=BE$4),COUNTIF($AW$8:$AW77,BE$3)+COUNTIF($AW$8:$AW77,BE$4),0)</f>
        <v>0</v>
      </c>
      <c r="BF77" s="416" t="str">
        <f t="shared" si="82"/>
        <v/>
      </c>
      <c r="BG77" s="388">
        <f>IF($AW77=BG$4,COUNTIFS($AV$8:$AV77,BG$3,$AW$8:$AW77,BG$4),0)</f>
        <v>0</v>
      </c>
      <c r="BH77" s="416" t="str">
        <f t="shared" si="83"/>
        <v/>
      </c>
      <c r="BI77" s="388">
        <f>IF($AW77=BI$3,COUNTIF($AW$8:$AW77,BI$3),0)</f>
        <v>0</v>
      </c>
      <c r="BJ77" s="416" t="str">
        <f t="shared" si="84"/>
        <v/>
      </c>
      <c r="BK77" s="388">
        <f>IF($AW77=BK$3,COUNTIF($AW$8:$AW77,BK$3),0)</f>
        <v>0</v>
      </c>
      <c r="BL77" s="416" t="str">
        <f t="shared" si="85"/>
        <v/>
      </c>
      <c r="BM77" s="388">
        <f>IF($AW77&lt;&gt;BM$3,COUNTIF($AW$8:$AW77,"&lt;&gt;"&amp;BM$3),0)</f>
        <v>0</v>
      </c>
      <c r="BN77" s="416" t="str">
        <f t="shared" si="86"/>
        <v/>
      </c>
      <c r="BO77" s="388">
        <f>IF($AW77=BO$3,COUNTIF($AW$8:$AW77,BO$3),0)</f>
        <v>0</v>
      </c>
      <c r="BP77" s="416" t="str">
        <f t="shared" si="87"/>
        <v/>
      </c>
      <c r="BQ77" s="381"/>
      <c r="BR77" s="381"/>
    </row>
    <row r="78" spans="1:70" ht="15" hidden="1" customHeight="1" outlineLevel="1">
      <c r="A78" s="640" t="str">
        <f t="shared" si="89"/>
        <v>栄養士等</v>
      </c>
      <c r="B78" s="641">
        <f>【様式2】職員名簿!J14</f>
        <v>0</v>
      </c>
      <c r="C78" s="642">
        <f t="shared" si="90"/>
        <v>0</v>
      </c>
      <c r="D78" s="643">
        <f t="shared" si="91"/>
        <v>0</v>
      </c>
      <c r="E78" s="1101"/>
      <c r="F78" s="1102"/>
      <c r="G78" s="649"/>
      <c r="H78" s="626">
        <f>B78-SUM($C78:$G78)</f>
        <v>0</v>
      </c>
      <c r="I78" s="623"/>
      <c r="J78" s="623"/>
      <c r="K78" s="623"/>
      <c r="L78" s="601"/>
      <c r="M78" s="601"/>
      <c r="N78" s="601"/>
      <c r="O78" s="601"/>
      <c r="P78" s="230"/>
      <c r="Q78" s="2476" t="s">
        <v>850</v>
      </c>
      <c r="R78" s="2479" t="s">
        <v>851</v>
      </c>
      <c r="S78" s="588"/>
      <c r="T78" s="2482" t="s">
        <v>852</v>
      </c>
      <c r="U78" s="2485"/>
      <c r="V78" s="568">
        <v>1</v>
      </c>
      <c r="W78" s="569" t="s">
        <v>827</v>
      </c>
      <c r="X78" s="569" t="s">
        <v>827</v>
      </c>
      <c r="Y78" s="569" t="s">
        <v>827</v>
      </c>
      <c r="Z78" s="2455" t="s">
        <v>849</v>
      </c>
      <c r="AA78" s="2456"/>
      <c r="AB78" s="2456"/>
      <c r="AC78" s="2462"/>
      <c r="AD78" s="568" t="s">
        <v>827</v>
      </c>
      <c r="AE78" s="572" t="s">
        <v>827</v>
      </c>
      <c r="AF78" s="2488" t="s">
        <v>853</v>
      </c>
      <c r="AG78" s="2489"/>
      <c r="AH78" s="573">
        <v>1</v>
      </c>
      <c r="AI78" s="2139" t="s">
        <v>898</v>
      </c>
      <c r="AJ78" s="2140"/>
      <c r="AP78" s="240"/>
      <c r="AQ78" s="240"/>
      <c r="AR78" s="240"/>
      <c r="AS78" s="240"/>
      <c r="AT78" s="388">
        <f t="shared" si="78"/>
        <v>71</v>
      </c>
      <c r="AU78" s="1081" t="str">
        <f>AT78&amp;" "&amp;IF(AW78&lt;&gt;"-",【様式2】職員名簿!B110&amp;"/"&amp;AV78&amp;"/"&amp;AW78,"")</f>
        <v xml:space="preserve">71 </v>
      </c>
      <c r="AV78" s="1081">
        <f>【様式2】職員名簿!E110</f>
        <v>0</v>
      </c>
      <c r="AW78" s="1081" t="str">
        <f>IF(【様式2】職員名簿!J110="エラー","-",IF(AND(【様式2】職員名簿!C110=$AW$3,【様式2】職員名簿!J110=$AW$4),$AW$3,【様式2】職員名簿!J110))</f>
        <v>-</v>
      </c>
      <c r="AX78" s="392">
        <f>IF($AV78="常勤",$AM$2,IF($AV78="非常勤",【様式2】職員名簿!G110,0))</f>
        <v>0</v>
      </c>
      <c r="AY78" s="415">
        <f>IF($AW78=AY$3,COUNTIF($AW$8:$AW78,AY$3),0)</f>
        <v>0</v>
      </c>
      <c r="AZ78" s="416" t="str">
        <f t="shared" si="79"/>
        <v/>
      </c>
      <c r="BA78" s="388">
        <f>IF(OR($AW78=BA$3,$AW78=BA$4),COUNTIF($AW$8:$AW78,BA$3)+COUNTIF($AW$8:$AW78,BA$4),0)</f>
        <v>0</v>
      </c>
      <c r="BB78" s="416" t="str">
        <f t="shared" si="80"/>
        <v/>
      </c>
      <c r="BC78" s="418">
        <f>IF($AW78=BC$3,COUNTIF($AW$8:$AW78,BC$3),0)</f>
        <v>0</v>
      </c>
      <c r="BD78" s="416" t="str">
        <f t="shared" si="81"/>
        <v/>
      </c>
      <c r="BE78" s="388">
        <f>IF(OR($AW78=BE$3,$AW78=BE$4),COUNTIF($AW$8:$AW78,BE$3)+COUNTIF($AW$8:$AW78,BE$4),0)</f>
        <v>0</v>
      </c>
      <c r="BF78" s="416" t="str">
        <f t="shared" si="82"/>
        <v/>
      </c>
      <c r="BG78" s="388">
        <f>IF($AW78=BG$4,COUNTIFS($AV$8:$AV78,BG$3,$AW$8:$AW78,BG$4),0)</f>
        <v>0</v>
      </c>
      <c r="BH78" s="416" t="str">
        <f t="shared" si="83"/>
        <v/>
      </c>
      <c r="BI78" s="388">
        <f>IF($AW78=BI$3,COUNTIF($AW$8:$AW78,BI$3),0)</f>
        <v>0</v>
      </c>
      <c r="BJ78" s="416" t="str">
        <f t="shared" si="84"/>
        <v/>
      </c>
      <c r="BK78" s="388">
        <f>IF($AW78=BK$3,COUNTIF($AW$8:$AW78,BK$3),0)</f>
        <v>0</v>
      </c>
      <c r="BL78" s="416" t="str">
        <f t="shared" si="85"/>
        <v/>
      </c>
      <c r="BM78" s="388">
        <f>IF($AW78&lt;&gt;BM$3,COUNTIF($AW$8:$AW78,"&lt;&gt;"&amp;BM$3),0)</f>
        <v>0</v>
      </c>
      <c r="BN78" s="416" t="str">
        <f t="shared" si="86"/>
        <v/>
      </c>
      <c r="BO78" s="388">
        <f>IF($AW78=BO$3,COUNTIF($AW$8:$AW78,BO$3),0)</f>
        <v>0</v>
      </c>
      <c r="BP78" s="416" t="str">
        <f t="shared" si="87"/>
        <v/>
      </c>
      <c r="BQ78" s="381"/>
      <c r="BR78" s="381"/>
    </row>
    <row r="79" spans="1:70" ht="15" hidden="1" customHeight="1" outlineLevel="1">
      <c r="A79" s="640" t="str">
        <f t="shared" si="89"/>
        <v>調理員</v>
      </c>
      <c r="B79" s="641">
        <f>【様式2】職員名簿!J15</f>
        <v>0</v>
      </c>
      <c r="C79" s="642">
        <f t="shared" si="90"/>
        <v>0</v>
      </c>
      <c r="D79" s="643">
        <f t="shared" si="91"/>
        <v>0</v>
      </c>
      <c r="E79" s="648"/>
      <c r="F79" s="1102"/>
      <c r="G79" s="649"/>
      <c r="H79" s="627">
        <f>SUM(B79,E75:E82)-SUM($C79:$G79)</f>
        <v>0</v>
      </c>
      <c r="I79" s="623"/>
      <c r="J79" s="623"/>
      <c r="K79" s="623"/>
      <c r="L79" s="601"/>
      <c r="M79" s="601"/>
      <c r="N79" s="601"/>
      <c r="O79" s="601"/>
      <c r="P79" s="230"/>
      <c r="Q79" s="2477"/>
      <c r="R79" s="2480"/>
      <c r="S79" s="589"/>
      <c r="T79" s="2483"/>
      <c r="U79" s="2486"/>
      <c r="V79" s="560">
        <v>2</v>
      </c>
      <c r="W79" s="86" t="s">
        <v>827</v>
      </c>
      <c r="X79" s="86" t="s">
        <v>827</v>
      </c>
      <c r="Y79" s="86" t="s">
        <v>827</v>
      </c>
      <c r="Z79" s="2457"/>
      <c r="AA79" s="2458"/>
      <c r="AB79" s="2458"/>
      <c r="AC79" s="2462"/>
      <c r="AD79" s="512" t="s">
        <v>827</v>
      </c>
      <c r="AE79" s="561"/>
      <c r="AF79" s="2490"/>
      <c r="AG79" s="2491"/>
      <c r="AH79" s="559">
        <v>2</v>
      </c>
      <c r="AI79" s="2139" t="s">
        <v>838</v>
      </c>
      <c r="AJ79" s="2140"/>
      <c r="AO79" s="240"/>
      <c r="AP79" s="240"/>
      <c r="AQ79" s="240"/>
      <c r="AR79" s="240"/>
      <c r="AS79" s="240"/>
      <c r="AT79" s="388">
        <f t="shared" si="78"/>
        <v>72</v>
      </c>
      <c r="AU79" s="1081" t="str">
        <f>AT79&amp;" "&amp;IF(AW79&lt;&gt;"-",【様式2】職員名簿!B111&amp;"/"&amp;AV79&amp;"/"&amp;AW79,"")</f>
        <v xml:space="preserve">72 </v>
      </c>
      <c r="AV79" s="1081">
        <f>【様式2】職員名簿!E111</f>
        <v>0</v>
      </c>
      <c r="AW79" s="1081" t="str">
        <f>IF(【様式2】職員名簿!J111="エラー","-",IF(AND(【様式2】職員名簿!C111=$AW$3,【様式2】職員名簿!J111=$AW$4),$AW$3,【様式2】職員名簿!J111))</f>
        <v>-</v>
      </c>
      <c r="AX79" s="392">
        <f>IF($AV79="常勤",$AM$2,IF($AV79="非常勤",【様式2】職員名簿!G111,0))</f>
        <v>0</v>
      </c>
      <c r="AY79" s="415">
        <f>IF($AW79=AY$3,COUNTIF($AW$8:$AW79,AY$3),0)</f>
        <v>0</v>
      </c>
      <c r="AZ79" s="416" t="str">
        <f t="shared" si="79"/>
        <v/>
      </c>
      <c r="BA79" s="388">
        <f>IF(OR($AW79=BA$3,$AW79=BA$4),COUNTIF($AW$8:$AW79,BA$3)+COUNTIF($AW$8:$AW79,BA$4),0)</f>
        <v>0</v>
      </c>
      <c r="BB79" s="416" t="str">
        <f t="shared" si="80"/>
        <v/>
      </c>
      <c r="BC79" s="418">
        <f>IF($AW79=BC$3,COUNTIF($AW$8:$AW79,BC$3),0)</f>
        <v>0</v>
      </c>
      <c r="BD79" s="416" t="str">
        <f t="shared" si="81"/>
        <v/>
      </c>
      <c r="BE79" s="388">
        <f>IF(OR($AW79=BE$3,$AW79=BE$4),COUNTIF($AW$8:$AW79,BE$3)+COUNTIF($AW$8:$AW79,BE$4),0)</f>
        <v>0</v>
      </c>
      <c r="BF79" s="416" t="str">
        <f t="shared" si="82"/>
        <v/>
      </c>
      <c r="BG79" s="388">
        <f>IF($AW79=BG$4,COUNTIFS($AV$8:$AV79,BG$3,$AW$8:$AW79,BG$4),0)</f>
        <v>0</v>
      </c>
      <c r="BH79" s="416" t="str">
        <f t="shared" si="83"/>
        <v/>
      </c>
      <c r="BI79" s="388">
        <f>IF($AW79=BI$3,COUNTIF($AW$8:$AW79,BI$3),0)</f>
        <v>0</v>
      </c>
      <c r="BJ79" s="416" t="str">
        <f t="shared" si="84"/>
        <v/>
      </c>
      <c r="BK79" s="388">
        <f>IF($AW79=BK$3,COUNTIF($AW$8:$AW79,BK$3),0)</f>
        <v>0</v>
      </c>
      <c r="BL79" s="416" t="str">
        <f t="shared" si="85"/>
        <v/>
      </c>
      <c r="BM79" s="388">
        <f>IF($AW79&lt;&gt;BM$3,COUNTIF($AW$8:$AW79,"&lt;&gt;"&amp;BM$3),0)</f>
        <v>0</v>
      </c>
      <c r="BN79" s="416" t="str">
        <f t="shared" si="86"/>
        <v/>
      </c>
      <c r="BO79" s="388">
        <f>IF($AW79=BO$3,COUNTIF($AW$8:$AW79,BO$3),0)</f>
        <v>0</v>
      </c>
      <c r="BP79" s="416" t="str">
        <f t="shared" si="87"/>
        <v/>
      </c>
      <c r="BQ79" s="381"/>
      <c r="BR79" s="381"/>
    </row>
    <row r="80" spans="1:70" ht="15" hidden="1" customHeight="1" outlineLevel="1">
      <c r="A80" s="640" t="str">
        <f t="shared" si="89"/>
        <v>事務員</v>
      </c>
      <c r="B80" s="641">
        <f>【様式2】職員名簿!J16</f>
        <v>0</v>
      </c>
      <c r="C80" s="642">
        <f t="shared" si="90"/>
        <v>0</v>
      </c>
      <c r="D80" s="643">
        <f t="shared" si="91"/>
        <v>0</v>
      </c>
      <c r="E80" s="1101"/>
      <c r="F80" s="649"/>
      <c r="G80" s="1084">
        <f>SUM(M20)</f>
        <v>0</v>
      </c>
      <c r="H80" s="627">
        <f>SUM(B80,F75:F82,G80)-SUM($C80:$F80)</f>
        <v>0</v>
      </c>
      <c r="I80" s="623"/>
      <c r="J80" s="623"/>
      <c r="K80" s="623"/>
      <c r="L80" s="601"/>
      <c r="M80" s="601"/>
      <c r="N80" s="601"/>
      <c r="O80" s="601"/>
      <c r="P80" s="230"/>
      <c r="Q80" s="2477"/>
      <c r="R80" s="2480"/>
      <c r="S80" s="589"/>
      <c r="T80" s="2483"/>
      <c r="U80" s="2486"/>
      <c r="V80" s="560">
        <v>3</v>
      </c>
      <c r="W80" s="86" t="s">
        <v>827</v>
      </c>
      <c r="X80" s="86" t="s">
        <v>827</v>
      </c>
      <c r="Y80" s="86"/>
      <c r="Z80" s="2457"/>
      <c r="AA80" s="2458"/>
      <c r="AB80" s="2458"/>
      <c r="AC80" s="2462"/>
      <c r="AD80" s="512" t="s">
        <v>827</v>
      </c>
      <c r="AE80" s="561"/>
      <c r="AF80" s="2490"/>
      <c r="AG80" s="2491"/>
      <c r="AH80" s="511">
        <v>3</v>
      </c>
      <c r="AI80" s="2443" t="s">
        <v>839</v>
      </c>
      <c r="AJ80" s="2444"/>
      <c r="AO80" s="240"/>
      <c r="AP80" s="240"/>
      <c r="AQ80" s="240"/>
      <c r="AR80" s="240"/>
      <c r="AS80" s="240"/>
      <c r="AT80" s="388">
        <f t="shared" si="78"/>
        <v>73</v>
      </c>
      <c r="AU80" s="1081" t="str">
        <f>AT80&amp;" "&amp;IF(AW80&lt;&gt;"-",【様式2】職員名簿!B112&amp;"/"&amp;AV80&amp;"/"&amp;AW80,"")</f>
        <v xml:space="preserve">73 </v>
      </c>
      <c r="AV80" s="1081">
        <f>【様式2】職員名簿!E112</f>
        <v>0</v>
      </c>
      <c r="AW80" s="1081" t="str">
        <f>IF(【様式2】職員名簿!J112="エラー","-",IF(AND(【様式2】職員名簿!C112=$AW$3,【様式2】職員名簿!J112=$AW$4),$AW$3,【様式2】職員名簿!J112))</f>
        <v>-</v>
      </c>
      <c r="AX80" s="392">
        <f>IF($AV80="常勤",$AM$2,IF($AV80="非常勤",【様式2】職員名簿!G112,0))</f>
        <v>0</v>
      </c>
      <c r="AY80" s="415">
        <f>IF($AW80=AY$3,COUNTIF($AW$8:$AW80,AY$3),0)</f>
        <v>0</v>
      </c>
      <c r="AZ80" s="416" t="str">
        <f t="shared" si="79"/>
        <v/>
      </c>
      <c r="BA80" s="388">
        <f>IF(OR($AW80=BA$3,$AW80=BA$4),COUNTIF($AW$8:$AW80,BA$3)+COUNTIF($AW$8:$AW80,BA$4),0)</f>
        <v>0</v>
      </c>
      <c r="BB80" s="416" t="str">
        <f t="shared" si="80"/>
        <v/>
      </c>
      <c r="BC80" s="418">
        <f>IF($AW80=BC$3,COUNTIF($AW$8:$AW80,BC$3),0)</f>
        <v>0</v>
      </c>
      <c r="BD80" s="416" t="str">
        <f t="shared" si="81"/>
        <v/>
      </c>
      <c r="BE80" s="388">
        <f>IF(OR($AW80=BE$3,$AW80=BE$4),COUNTIF($AW$8:$AW80,BE$3)+COUNTIF($AW$8:$AW80,BE$4),0)</f>
        <v>0</v>
      </c>
      <c r="BF80" s="416" t="str">
        <f t="shared" si="82"/>
        <v/>
      </c>
      <c r="BG80" s="388">
        <f>IF($AW80=BG$4,COUNTIFS($AV$8:$AV80,BG$3,$AW$8:$AW80,BG$4),0)</f>
        <v>0</v>
      </c>
      <c r="BH80" s="416" t="str">
        <f t="shared" si="83"/>
        <v/>
      </c>
      <c r="BI80" s="388">
        <f>IF($AW80=BI$3,COUNTIF($AW$8:$AW80,BI$3),0)</f>
        <v>0</v>
      </c>
      <c r="BJ80" s="416" t="str">
        <f t="shared" si="84"/>
        <v/>
      </c>
      <c r="BK80" s="388">
        <f>IF($AW80=BK$3,COUNTIF($AW$8:$AW80,BK$3),0)</f>
        <v>0</v>
      </c>
      <c r="BL80" s="416" t="str">
        <f t="shared" si="85"/>
        <v/>
      </c>
      <c r="BM80" s="388">
        <f>IF($AW80&lt;&gt;BM$3,COUNTIF($AW$8:$AW80,"&lt;&gt;"&amp;BM$3),0)</f>
        <v>0</v>
      </c>
      <c r="BN80" s="416" t="str">
        <f t="shared" si="86"/>
        <v/>
      </c>
      <c r="BO80" s="388">
        <f>IF($AW80=BO$3,COUNTIF($AW$8:$AW80,BO$3),0)</f>
        <v>0</v>
      </c>
      <c r="BP80" s="416" t="str">
        <f t="shared" si="87"/>
        <v/>
      </c>
      <c r="BQ80" s="381"/>
      <c r="BR80" s="381"/>
    </row>
    <row r="81" spans="1:70" ht="15" hidden="1" customHeight="1" outlineLevel="1">
      <c r="A81" s="640" t="str">
        <f t="shared" si="89"/>
        <v>学校医</v>
      </c>
      <c r="B81" s="641">
        <f>【様式2】職員名簿!J17</f>
        <v>0</v>
      </c>
      <c r="C81" s="642">
        <f t="shared" si="90"/>
        <v>0</v>
      </c>
      <c r="D81" s="643">
        <f t="shared" si="91"/>
        <v>0</v>
      </c>
      <c r="E81" s="1101"/>
      <c r="F81" s="1102"/>
      <c r="G81" s="649"/>
      <c r="H81" s="626">
        <f>B81-SUM($C81:$G81)</f>
        <v>0</v>
      </c>
      <c r="I81" s="623"/>
      <c r="J81" s="623"/>
      <c r="K81" s="623"/>
      <c r="L81" s="601"/>
      <c r="M81" s="601"/>
      <c r="N81" s="601"/>
      <c r="O81" s="601"/>
      <c r="P81" s="230"/>
      <c r="Q81" s="2477"/>
      <c r="R81" s="2480"/>
      <c r="S81" s="589"/>
      <c r="T81" s="2483"/>
      <c r="U81" s="2486"/>
      <c r="V81" s="2464" t="s">
        <v>857</v>
      </c>
      <c r="W81" s="2466" t="s">
        <v>858</v>
      </c>
      <c r="X81" s="94"/>
      <c r="Y81" s="94"/>
      <c r="Z81" s="2457"/>
      <c r="AA81" s="2458"/>
      <c r="AB81" s="2458"/>
      <c r="AC81" s="2462"/>
      <c r="AD81" s="570"/>
      <c r="AE81" s="562"/>
      <c r="AF81" s="2490"/>
      <c r="AG81" s="2491"/>
      <c r="AH81" s="511">
        <v>4</v>
      </c>
      <c r="AI81" s="2443" t="s">
        <v>840</v>
      </c>
      <c r="AJ81" s="2444"/>
      <c r="AO81" s="240"/>
      <c r="AP81" s="240"/>
      <c r="AQ81" s="240"/>
      <c r="AR81" s="240"/>
      <c r="AS81" s="240"/>
      <c r="AT81" s="388">
        <f t="shared" si="78"/>
        <v>74</v>
      </c>
      <c r="AU81" s="1081" t="str">
        <f>AT81&amp;" "&amp;IF(AW81&lt;&gt;"-",【様式2】職員名簿!B113&amp;"/"&amp;AV81&amp;"/"&amp;AW81,"")</f>
        <v xml:space="preserve">74 </v>
      </c>
      <c r="AV81" s="1081">
        <f>【様式2】職員名簿!E113</f>
        <v>0</v>
      </c>
      <c r="AW81" s="1081" t="str">
        <f>IF(【様式2】職員名簿!J113="エラー","-",IF(AND(【様式2】職員名簿!C113=$AW$3,【様式2】職員名簿!J113=$AW$4),$AW$3,【様式2】職員名簿!J113))</f>
        <v>-</v>
      </c>
      <c r="AX81" s="392">
        <f>IF($AV81="常勤",$AM$2,IF($AV81="非常勤",【様式2】職員名簿!G113,0))</f>
        <v>0</v>
      </c>
      <c r="AY81" s="415">
        <f>IF($AW81=AY$3,COUNTIF($AW$8:$AW81,AY$3),0)</f>
        <v>0</v>
      </c>
      <c r="AZ81" s="416" t="str">
        <f t="shared" si="79"/>
        <v/>
      </c>
      <c r="BA81" s="388">
        <f>IF(OR($AW81=BA$3,$AW81=BA$4),COUNTIF($AW$8:$AW81,BA$3)+COUNTIF($AW$8:$AW81,BA$4),0)</f>
        <v>0</v>
      </c>
      <c r="BB81" s="416" t="str">
        <f t="shared" si="80"/>
        <v/>
      </c>
      <c r="BC81" s="418">
        <f>IF($AW81=BC$3,COUNTIF($AW$8:$AW81,BC$3),0)</f>
        <v>0</v>
      </c>
      <c r="BD81" s="416" t="str">
        <f t="shared" si="81"/>
        <v/>
      </c>
      <c r="BE81" s="388">
        <f>IF(OR($AW81=BE$3,$AW81=BE$4),COUNTIF($AW$8:$AW81,BE$3)+COUNTIF($AW$8:$AW81,BE$4),0)</f>
        <v>0</v>
      </c>
      <c r="BF81" s="416" t="str">
        <f t="shared" si="82"/>
        <v/>
      </c>
      <c r="BG81" s="388">
        <f>IF($AW81=BG$4,COUNTIFS($AV$8:$AV81,BG$3,$AW$8:$AW81,BG$4),0)</f>
        <v>0</v>
      </c>
      <c r="BH81" s="416" t="str">
        <f t="shared" si="83"/>
        <v/>
      </c>
      <c r="BI81" s="388">
        <f>IF($AW81=BI$3,COUNTIF($AW$8:$AW81,BI$3),0)</f>
        <v>0</v>
      </c>
      <c r="BJ81" s="416" t="str">
        <f t="shared" si="84"/>
        <v/>
      </c>
      <c r="BK81" s="388">
        <f>IF($AW81=BK$3,COUNTIF($AW$8:$AW81,BK$3),0)</f>
        <v>0</v>
      </c>
      <c r="BL81" s="416" t="str">
        <f t="shared" si="85"/>
        <v/>
      </c>
      <c r="BM81" s="388">
        <f>IF($AW81&lt;&gt;BM$3,COUNTIF($AW$8:$AW81,"&lt;&gt;"&amp;BM$3),0)</f>
        <v>0</v>
      </c>
      <c r="BN81" s="416" t="str">
        <f t="shared" si="86"/>
        <v/>
      </c>
      <c r="BO81" s="388">
        <f>IF($AW81=BO$3,COUNTIF($AW$8:$AW81,BO$3),0)</f>
        <v>0</v>
      </c>
      <c r="BP81" s="416" t="str">
        <f t="shared" si="87"/>
        <v/>
      </c>
      <c r="BQ81" s="381"/>
      <c r="BR81" s="381"/>
    </row>
    <row r="82" spans="1:70" ht="15" hidden="1" customHeight="1" outlineLevel="1" thickBot="1">
      <c r="A82" s="644" t="str">
        <f t="shared" si="89"/>
        <v>その他</v>
      </c>
      <c r="B82" s="645">
        <f>【様式2】職員名簿!J18</f>
        <v>0</v>
      </c>
      <c r="C82" s="646">
        <f t="shared" si="90"/>
        <v>0</v>
      </c>
      <c r="D82" s="647">
        <f t="shared" si="91"/>
        <v>0</v>
      </c>
      <c r="E82" s="1103"/>
      <c r="F82" s="1104"/>
      <c r="G82" s="1085"/>
      <c r="H82" s="628">
        <f>B82-SUM($C82:$G82)</f>
        <v>0</v>
      </c>
      <c r="I82" s="623"/>
      <c r="J82" s="623"/>
      <c r="K82" s="623"/>
      <c r="L82" s="601"/>
      <c r="M82" s="601"/>
      <c r="N82" s="601"/>
      <c r="O82" s="601"/>
      <c r="P82" s="230"/>
      <c r="Q82" s="2478"/>
      <c r="R82" s="2481"/>
      <c r="S82" s="590"/>
      <c r="T82" s="2484"/>
      <c r="U82" s="2487"/>
      <c r="V82" s="2465"/>
      <c r="W82" s="2467"/>
      <c r="X82" s="563"/>
      <c r="Y82" s="563"/>
      <c r="Z82" s="2459"/>
      <c r="AA82" s="2460"/>
      <c r="AB82" s="2460"/>
      <c r="AC82" s="2463"/>
      <c r="AD82" s="571"/>
      <c r="AE82" s="564"/>
      <c r="AF82" s="2492"/>
      <c r="AG82" s="2493"/>
      <c r="AH82" s="810">
        <v>5</v>
      </c>
      <c r="AI82" s="2126" t="s">
        <v>897</v>
      </c>
      <c r="AJ82" s="2127"/>
      <c r="AO82" s="240"/>
      <c r="AP82" s="240"/>
      <c r="AQ82" s="240"/>
      <c r="AR82" s="240"/>
      <c r="AS82" s="240"/>
      <c r="AT82" s="388">
        <f t="shared" si="78"/>
        <v>75</v>
      </c>
      <c r="AU82" s="1081" t="str">
        <f>AT82&amp;" "&amp;IF(AW82&lt;&gt;"-",【様式2】職員名簿!B114&amp;"/"&amp;AV82&amp;"/"&amp;AW82,"")</f>
        <v xml:space="preserve">75 </v>
      </c>
      <c r="AV82" s="1081">
        <f>【様式2】職員名簿!E114</f>
        <v>0</v>
      </c>
      <c r="AW82" s="1081" t="str">
        <f>IF(【様式2】職員名簿!J114="エラー","-",IF(AND(【様式2】職員名簿!C114=$AW$3,【様式2】職員名簿!J114=$AW$4),$AW$3,【様式2】職員名簿!J114))</f>
        <v>-</v>
      </c>
      <c r="AX82" s="392">
        <f>IF($AV82="常勤",$AM$2,IF($AV82="非常勤",【様式2】職員名簿!G114,0))</f>
        <v>0</v>
      </c>
      <c r="AY82" s="415">
        <f>IF($AW82=AY$3,COUNTIF($AW$8:$AW82,AY$3),0)</f>
        <v>0</v>
      </c>
      <c r="AZ82" s="416" t="str">
        <f t="shared" si="79"/>
        <v/>
      </c>
      <c r="BA82" s="388">
        <f>IF(OR($AW82=BA$3,$AW82=BA$4),COUNTIF($AW$8:$AW82,BA$3)+COUNTIF($AW$8:$AW82,BA$4),0)</f>
        <v>0</v>
      </c>
      <c r="BB82" s="416" t="str">
        <f t="shared" si="80"/>
        <v/>
      </c>
      <c r="BC82" s="418">
        <f>IF($AW82=BC$3,COUNTIF($AW$8:$AW82,BC$3),0)</f>
        <v>0</v>
      </c>
      <c r="BD82" s="416" t="str">
        <f t="shared" si="81"/>
        <v/>
      </c>
      <c r="BE82" s="388">
        <f>IF(OR($AW82=BE$3,$AW82=BE$4),COUNTIF($AW$8:$AW82,BE$3)+COUNTIF($AW$8:$AW82,BE$4),0)</f>
        <v>0</v>
      </c>
      <c r="BF82" s="416" t="str">
        <f t="shared" si="82"/>
        <v/>
      </c>
      <c r="BG82" s="388">
        <f>IF($AW82=BG$4,COUNTIFS($AV$8:$AV82,BG$3,$AW$8:$AW82,BG$4),0)</f>
        <v>0</v>
      </c>
      <c r="BH82" s="416" t="str">
        <f t="shared" si="83"/>
        <v/>
      </c>
      <c r="BI82" s="388">
        <f>IF($AW82=BI$3,COUNTIF($AW$8:$AW82,BI$3),0)</f>
        <v>0</v>
      </c>
      <c r="BJ82" s="416" t="str">
        <f t="shared" si="84"/>
        <v/>
      </c>
      <c r="BK82" s="388">
        <f>IF($AW82=BK$3,COUNTIF($AW$8:$AW82,BK$3),0)</f>
        <v>0</v>
      </c>
      <c r="BL82" s="416" t="str">
        <f t="shared" si="85"/>
        <v/>
      </c>
      <c r="BM82" s="388">
        <f>IF($AW82&lt;&gt;BM$3,COUNTIF($AW$8:$AW82,"&lt;&gt;"&amp;BM$3),0)</f>
        <v>0</v>
      </c>
      <c r="BN82" s="416" t="str">
        <f t="shared" si="86"/>
        <v/>
      </c>
      <c r="BO82" s="388">
        <f>IF($AW82=BO$3,COUNTIF($AW$8:$AW82,BO$3),0)</f>
        <v>0</v>
      </c>
      <c r="BP82" s="416" t="str">
        <f t="shared" si="87"/>
        <v/>
      </c>
      <c r="BQ82" s="381"/>
      <c r="BR82" s="381"/>
    </row>
    <row r="83" spans="1:70" ht="15" hidden="1" customHeight="1" outlineLevel="1">
      <c r="A83" s="601"/>
      <c r="B83" s="601"/>
      <c r="C83" s="600"/>
      <c r="D83" s="600"/>
      <c r="E83" s="629"/>
      <c r="F83" s="623"/>
      <c r="G83" s="623"/>
      <c r="H83" s="623"/>
      <c r="I83" s="623"/>
      <c r="J83" s="623"/>
      <c r="K83" s="623"/>
      <c r="L83" s="623"/>
      <c r="M83" s="623"/>
      <c r="N83" s="940"/>
      <c r="O83" s="940"/>
      <c r="P83" s="230"/>
      <c r="Q83" s="230"/>
      <c r="AO83" s="240"/>
      <c r="AP83" s="240"/>
      <c r="AQ83" s="240"/>
      <c r="AR83" s="240"/>
      <c r="AS83" s="240"/>
      <c r="AT83" s="388">
        <f t="shared" si="78"/>
        <v>76</v>
      </c>
      <c r="AU83" s="1081" t="str">
        <f>AT83&amp;" "&amp;IF(AW83&lt;&gt;"-",【様式2】職員名簿!B115&amp;"/"&amp;AV83&amp;"/"&amp;AW83,"")</f>
        <v xml:space="preserve">76 </v>
      </c>
      <c r="AV83" s="1081">
        <f>【様式2】職員名簿!E115</f>
        <v>0</v>
      </c>
      <c r="AW83" s="1081" t="str">
        <f>IF(【様式2】職員名簿!J115="エラー","-",IF(AND(【様式2】職員名簿!C115=$AW$3,【様式2】職員名簿!J115=$AW$4),$AW$3,【様式2】職員名簿!J115))</f>
        <v>-</v>
      </c>
      <c r="AX83" s="392">
        <f>IF($AV83="常勤",$AM$2,IF($AV83="非常勤",【様式2】職員名簿!G115,0))</f>
        <v>0</v>
      </c>
      <c r="AY83" s="415">
        <f>IF($AW83=AY$3,COUNTIF($AW$8:$AW83,AY$3),0)</f>
        <v>0</v>
      </c>
      <c r="AZ83" s="416" t="str">
        <f t="shared" si="79"/>
        <v/>
      </c>
      <c r="BA83" s="388">
        <f>IF(OR($AW83=BA$3,$AW83=BA$4),COUNTIF($AW$8:$AW83,BA$3)+COUNTIF($AW$8:$AW83,BA$4),0)</f>
        <v>0</v>
      </c>
      <c r="BB83" s="416" t="str">
        <f t="shared" si="80"/>
        <v/>
      </c>
      <c r="BC83" s="418">
        <f>IF($AW83=BC$3,COUNTIF($AW$8:$AW83,BC$3),0)</f>
        <v>0</v>
      </c>
      <c r="BD83" s="416" t="str">
        <f t="shared" si="81"/>
        <v/>
      </c>
      <c r="BE83" s="388">
        <f>IF(OR($AW83=BE$3,$AW83=BE$4),COUNTIF($AW$8:$AW83,BE$3)+COUNTIF($AW$8:$AW83,BE$4),0)</f>
        <v>0</v>
      </c>
      <c r="BF83" s="416" t="str">
        <f t="shared" si="82"/>
        <v/>
      </c>
      <c r="BG83" s="388">
        <f>IF($AW83=BG$4,COUNTIFS($AV$8:$AV83,BG$3,$AW$8:$AW83,BG$4),0)</f>
        <v>0</v>
      </c>
      <c r="BH83" s="416" t="str">
        <f t="shared" si="83"/>
        <v/>
      </c>
      <c r="BI83" s="388">
        <f>IF($AW83=BI$3,COUNTIF($AW$8:$AW83,BI$3),0)</f>
        <v>0</v>
      </c>
      <c r="BJ83" s="416" t="str">
        <f t="shared" si="84"/>
        <v/>
      </c>
      <c r="BK83" s="388">
        <f>IF($AW83=BK$3,COUNTIF($AW$8:$AW83,BK$3),0)</f>
        <v>0</v>
      </c>
      <c r="BL83" s="416" t="str">
        <f t="shared" si="85"/>
        <v/>
      </c>
      <c r="BM83" s="388">
        <f>IF($AW83&lt;&gt;BM$3,COUNTIF($AW$8:$AW83,"&lt;&gt;"&amp;BM$3),0)</f>
        <v>0</v>
      </c>
      <c r="BN83" s="416" t="str">
        <f t="shared" si="86"/>
        <v/>
      </c>
      <c r="BO83" s="388">
        <f>IF($AW83=BO$3,COUNTIF($AW$8:$AW83,BO$3),0)</f>
        <v>0</v>
      </c>
      <c r="BP83" s="416" t="str">
        <f t="shared" si="87"/>
        <v/>
      </c>
      <c r="BQ83" s="381"/>
      <c r="BR83" s="381"/>
    </row>
    <row r="84" spans="1:70" ht="15" customHeight="1" collapsed="1" thickBot="1">
      <c r="A84" s="593" t="s">
        <v>706</v>
      </c>
      <c r="B84" s="601"/>
      <c r="C84" s="594"/>
      <c r="D84" s="594"/>
      <c r="E84" s="594"/>
      <c r="F84" s="594"/>
      <c r="G84" s="594"/>
      <c r="H84" s="594"/>
      <c r="I84" s="594"/>
      <c r="J84" s="594"/>
      <c r="K84" s="594"/>
      <c r="L84" s="594"/>
      <c r="M84" s="940"/>
      <c r="N84" s="600"/>
      <c r="O84" s="940" t="s">
        <v>723</v>
      </c>
      <c r="P84" s="230"/>
      <c r="Q84" s="424"/>
      <c r="AO84" s="240"/>
      <c r="AP84" s="240"/>
      <c r="AQ84" s="240"/>
      <c r="AR84" s="240"/>
      <c r="AS84" s="240"/>
      <c r="AT84" s="388">
        <f t="shared" si="78"/>
        <v>77</v>
      </c>
      <c r="AU84" s="1081" t="str">
        <f>AT84&amp;" "&amp;IF(AW84&lt;&gt;"-",【様式2】職員名簿!B116&amp;"/"&amp;AV84&amp;"/"&amp;AW84,"")</f>
        <v xml:space="preserve">77 </v>
      </c>
      <c r="AV84" s="1081">
        <f>【様式2】職員名簿!E116</f>
        <v>0</v>
      </c>
      <c r="AW84" s="1081" t="str">
        <f>IF(【様式2】職員名簿!J116="エラー","-",IF(AND(【様式2】職員名簿!C116=$AW$3,【様式2】職員名簿!J116=$AW$4),$AW$3,【様式2】職員名簿!J116))</f>
        <v>-</v>
      </c>
      <c r="AX84" s="392">
        <f>IF($AV84="常勤",$AM$2,IF($AV84="非常勤",【様式2】職員名簿!G116,0))</f>
        <v>0</v>
      </c>
      <c r="AY84" s="415">
        <f>IF($AW84=AY$3,COUNTIF($AW$8:$AW84,AY$3),0)</f>
        <v>0</v>
      </c>
      <c r="AZ84" s="416" t="str">
        <f t="shared" si="79"/>
        <v/>
      </c>
      <c r="BA84" s="388">
        <f>IF(OR($AW84=BA$3,$AW84=BA$4),COUNTIF($AW$8:$AW84,BA$3)+COUNTIF($AW$8:$AW84,BA$4),0)</f>
        <v>0</v>
      </c>
      <c r="BB84" s="416" t="str">
        <f t="shared" si="80"/>
        <v/>
      </c>
      <c r="BC84" s="418">
        <f>IF($AW84=BC$3,COUNTIF($AW$8:$AW84,BC$3),0)</f>
        <v>0</v>
      </c>
      <c r="BD84" s="416" t="str">
        <f t="shared" si="81"/>
        <v/>
      </c>
      <c r="BE84" s="388">
        <f>IF(OR($AW84=BE$3,$AW84=BE$4),COUNTIF($AW$8:$AW84,BE$3)+COUNTIF($AW$8:$AW84,BE$4),0)</f>
        <v>0</v>
      </c>
      <c r="BF84" s="416" t="str">
        <f t="shared" si="82"/>
        <v/>
      </c>
      <c r="BG84" s="388">
        <f>IF($AW84=BG$4,COUNTIFS($AV$8:$AV84,BG$3,$AW$8:$AW84,BG$4),0)</f>
        <v>0</v>
      </c>
      <c r="BH84" s="416" t="str">
        <f t="shared" si="83"/>
        <v/>
      </c>
      <c r="BI84" s="388">
        <f>IF($AW84=BI$3,COUNTIF($AW$8:$AW84,BI$3),0)</f>
        <v>0</v>
      </c>
      <c r="BJ84" s="416" t="str">
        <f t="shared" si="84"/>
        <v/>
      </c>
      <c r="BK84" s="388">
        <f>IF($AW84=BK$3,COUNTIF($AW$8:$AW84,BK$3),0)</f>
        <v>0</v>
      </c>
      <c r="BL84" s="416" t="str">
        <f t="shared" si="85"/>
        <v/>
      </c>
      <c r="BM84" s="388">
        <f>IF($AW84&lt;&gt;BM$3,COUNTIF($AW$8:$AW84,"&lt;&gt;"&amp;BM$3),0)</f>
        <v>0</v>
      </c>
      <c r="BN84" s="416" t="str">
        <f t="shared" si="86"/>
        <v/>
      </c>
      <c r="BO84" s="388">
        <f>IF($AW84=BO$3,COUNTIF($AW$8:$AW84,BO$3),0)</f>
        <v>0</v>
      </c>
      <c r="BP84" s="416" t="str">
        <f t="shared" si="87"/>
        <v/>
      </c>
      <c r="BQ84" s="381"/>
      <c r="BR84" s="381"/>
    </row>
    <row r="85" spans="1:70" ht="15" customHeight="1">
      <c r="A85" s="801" t="s">
        <v>131</v>
      </c>
      <c r="B85" s="802"/>
      <c r="C85" s="803"/>
      <c r="D85" s="2317" t="s">
        <v>658</v>
      </c>
      <c r="E85" s="2317"/>
      <c r="F85" s="2317"/>
      <c r="G85" s="2317"/>
      <c r="H85" s="2317"/>
      <c r="I85" s="2317"/>
      <c r="J85" s="2317"/>
      <c r="K85" s="2317"/>
      <c r="L85" s="2317"/>
      <c r="M85" s="2309"/>
      <c r="N85" s="2309" t="s">
        <v>641</v>
      </c>
      <c r="O85" s="2315" t="s">
        <v>646</v>
      </c>
      <c r="P85" s="424"/>
      <c r="Q85" s="424"/>
      <c r="AK85" s="386"/>
      <c r="AL85" s="386"/>
      <c r="AO85" s="240"/>
      <c r="AP85" s="240"/>
      <c r="AQ85" s="240"/>
      <c r="AR85" s="240"/>
      <c r="AS85" s="240"/>
      <c r="AT85" s="388">
        <f t="shared" si="78"/>
        <v>78</v>
      </c>
      <c r="AU85" s="1081" t="str">
        <f>AT85&amp;" "&amp;IF(AW85&lt;&gt;"-",【様式2】職員名簿!B117&amp;"/"&amp;AV85&amp;"/"&amp;AW85,"")</f>
        <v xml:space="preserve">78 </v>
      </c>
      <c r="AV85" s="1081">
        <f>【様式2】職員名簿!E117</f>
        <v>0</v>
      </c>
      <c r="AW85" s="1081" t="str">
        <f>IF(【様式2】職員名簿!J117="エラー","-",IF(AND(【様式2】職員名簿!C117=$AW$3,【様式2】職員名簿!J117=$AW$4),$AW$3,【様式2】職員名簿!J117))</f>
        <v>-</v>
      </c>
      <c r="AX85" s="392">
        <f>IF($AV85="常勤",$AM$2,IF($AV85="非常勤",【様式2】職員名簿!G117,0))</f>
        <v>0</v>
      </c>
      <c r="AY85" s="415">
        <f>IF($AW85=AY$3,COUNTIF($AW$8:$AW85,AY$3),0)</f>
        <v>0</v>
      </c>
      <c r="AZ85" s="416" t="str">
        <f t="shared" si="79"/>
        <v/>
      </c>
      <c r="BA85" s="388">
        <f>IF(OR($AW85=BA$3,$AW85=BA$4),COUNTIF($AW$8:$AW85,BA$3)+COUNTIF($AW$8:$AW85,BA$4),0)</f>
        <v>0</v>
      </c>
      <c r="BB85" s="416" t="str">
        <f t="shared" si="80"/>
        <v/>
      </c>
      <c r="BC85" s="418">
        <f>IF($AW85=BC$3,COUNTIF($AW$8:$AW85,BC$3),0)</f>
        <v>0</v>
      </c>
      <c r="BD85" s="416" t="str">
        <f t="shared" si="81"/>
        <v/>
      </c>
      <c r="BE85" s="388">
        <f>IF(OR($AW85=BE$3,$AW85=BE$4),COUNTIF($AW$8:$AW85,BE$3)+COUNTIF($AW$8:$AW85,BE$4),0)</f>
        <v>0</v>
      </c>
      <c r="BF85" s="416" t="str">
        <f t="shared" si="82"/>
        <v/>
      </c>
      <c r="BG85" s="388">
        <f>IF($AW85=BG$4,COUNTIFS($AV$8:$AV85,BG$3,$AW$8:$AW85,BG$4),0)</f>
        <v>0</v>
      </c>
      <c r="BH85" s="416" t="str">
        <f t="shared" si="83"/>
        <v/>
      </c>
      <c r="BI85" s="388">
        <f>IF($AW85=BI$3,COUNTIF($AW$8:$AW85,BI$3),0)</f>
        <v>0</v>
      </c>
      <c r="BJ85" s="416" t="str">
        <f t="shared" si="84"/>
        <v/>
      </c>
      <c r="BK85" s="388">
        <f>IF($AW85=BK$3,COUNTIF($AW$8:$AW85,BK$3),0)</f>
        <v>0</v>
      </c>
      <c r="BL85" s="416" t="str">
        <f t="shared" si="85"/>
        <v/>
      </c>
      <c r="BM85" s="388">
        <f>IF($AW85&lt;&gt;BM$3,COUNTIF($AW$8:$AW85,"&lt;&gt;"&amp;BM$3),0)</f>
        <v>0</v>
      </c>
      <c r="BN85" s="416" t="str">
        <f t="shared" si="86"/>
        <v/>
      </c>
      <c r="BO85" s="388">
        <f>IF($AW85=BO$3,COUNTIF($AW$8:$AW85,BO$3),0)</f>
        <v>0</v>
      </c>
      <c r="BP85" s="416" t="str">
        <f t="shared" si="87"/>
        <v/>
      </c>
      <c r="BQ85" s="381"/>
      <c r="BR85" s="381"/>
    </row>
    <row r="86" spans="1:70" ht="12.75" thickBot="1">
      <c r="A86" s="353" t="s">
        <v>353</v>
      </c>
      <c r="B86" s="2210" t="s">
        <v>763</v>
      </c>
      <c r="C86" s="2211"/>
      <c r="D86" s="2326" t="s">
        <v>640</v>
      </c>
      <c r="E86" s="2326"/>
      <c r="F86" s="2326"/>
      <c r="G86" s="2326"/>
      <c r="H86" s="2326"/>
      <c r="I86" s="2327"/>
      <c r="J86" s="2327"/>
      <c r="K86" s="2327"/>
      <c r="L86" s="336" t="s">
        <v>642</v>
      </c>
      <c r="M86" s="1004"/>
      <c r="N86" s="2310"/>
      <c r="O86" s="2316"/>
      <c r="P86" s="424"/>
      <c r="Q86" s="233"/>
      <c r="AK86" s="229"/>
      <c r="AL86" s="386"/>
      <c r="AO86" s="240"/>
      <c r="AP86" s="240"/>
      <c r="AQ86" s="240"/>
      <c r="AR86" s="240"/>
      <c r="AT86" s="388">
        <f t="shared" si="78"/>
        <v>79</v>
      </c>
      <c r="AU86" s="1081" t="str">
        <f>AT86&amp;" "&amp;IF(AW86&lt;&gt;"-",【様式2】職員名簿!B118&amp;"/"&amp;AV86&amp;"/"&amp;AW86,"")</f>
        <v xml:space="preserve">79 </v>
      </c>
      <c r="AV86" s="1081">
        <f>【様式2】職員名簿!E118</f>
        <v>0</v>
      </c>
      <c r="AW86" s="1081" t="str">
        <f>IF(【様式2】職員名簿!J118="エラー","-",IF(AND(【様式2】職員名簿!C118=$AW$3,【様式2】職員名簿!J118=$AW$4),$AW$3,【様式2】職員名簿!J118))</f>
        <v>-</v>
      </c>
      <c r="AX86" s="392">
        <f>IF($AV86="常勤",$AM$2,IF($AV86="非常勤",【様式2】職員名簿!G118,0))</f>
        <v>0</v>
      </c>
      <c r="AY86" s="415">
        <f>IF($AW86=AY$3,COUNTIF($AW$8:$AW86,AY$3),0)</f>
        <v>0</v>
      </c>
      <c r="AZ86" s="416" t="str">
        <f t="shared" si="79"/>
        <v/>
      </c>
      <c r="BA86" s="388">
        <f>IF(OR($AW86=BA$3,$AW86=BA$4),COUNTIF($AW$8:$AW86,BA$3)+COUNTIF($AW$8:$AW86,BA$4),0)</f>
        <v>0</v>
      </c>
      <c r="BB86" s="416" t="str">
        <f t="shared" si="80"/>
        <v/>
      </c>
      <c r="BC86" s="418">
        <f>IF($AW86=BC$3,COUNTIF($AW$8:$AW86,BC$3),0)</f>
        <v>0</v>
      </c>
      <c r="BD86" s="416" t="str">
        <f t="shared" si="81"/>
        <v/>
      </c>
      <c r="BE86" s="388">
        <f>IF(OR($AW86=BE$3,$AW86=BE$4),COUNTIF($AW$8:$AW86,BE$3)+COUNTIF($AW$8:$AW86,BE$4),0)</f>
        <v>0</v>
      </c>
      <c r="BF86" s="416" t="str">
        <f t="shared" si="82"/>
        <v/>
      </c>
      <c r="BG86" s="388">
        <f>IF($AW86=BG$4,COUNTIFS($AV$8:$AV86,BG$3,$AW$8:$AW86,BG$4),0)</f>
        <v>0</v>
      </c>
      <c r="BH86" s="416" t="str">
        <f t="shared" si="83"/>
        <v/>
      </c>
      <c r="BI86" s="388">
        <f>IF($AW86=BI$3,COUNTIF($AW$8:$AW86,BI$3),0)</f>
        <v>0</v>
      </c>
      <c r="BJ86" s="416" t="str">
        <f t="shared" si="84"/>
        <v/>
      </c>
      <c r="BK86" s="388">
        <f>IF($AW86=BK$3,COUNTIF($AW$8:$AW86,BK$3),0)</f>
        <v>0</v>
      </c>
      <c r="BL86" s="416" t="str">
        <f t="shared" si="85"/>
        <v/>
      </c>
      <c r="BM86" s="388">
        <f>IF($AW86&lt;&gt;BM$3,COUNTIF($AW$8:$AW86,"&lt;&gt;"&amp;BM$3),0)</f>
        <v>0</v>
      </c>
      <c r="BN86" s="416" t="str">
        <f t="shared" si="86"/>
        <v/>
      </c>
      <c r="BO86" s="388">
        <f>IF($AW86=BO$3,COUNTIF($AW$8:$AW86,BO$3),0)</f>
        <v>0</v>
      </c>
      <c r="BP86" s="416" t="str">
        <f t="shared" si="87"/>
        <v/>
      </c>
      <c r="BQ86" s="381"/>
      <c r="BR86" s="381"/>
    </row>
    <row r="87" spans="1:70" ht="15" customHeight="1">
      <c r="A87" s="2212" t="s">
        <v>647</v>
      </c>
      <c r="B87" s="2214" t="s">
        <v>768</v>
      </c>
      <c r="C87" s="2215"/>
      <c r="D87" s="2328" t="s">
        <v>627</v>
      </c>
      <c r="E87" s="1647"/>
      <c r="F87" s="1647"/>
      <c r="G87" s="1647"/>
      <c r="H87" s="1647"/>
      <c r="I87" s="1647"/>
      <c r="J87" s="1647"/>
      <c r="K87" s="1647"/>
      <c r="L87" s="2340">
        <f>M16</f>
        <v>0</v>
      </c>
      <c r="M87" s="2311">
        <f>SUM(L87)</f>
        <v>0</v>
      </c>
      <c r="N87" s="2307">
        <f>H75</f>
        <v>0</v>
      </c>
      <c r="O87" s="2270">
        <f>N87-M87</f>
        <v>0</v>
      </c>
      <c r="P87" s="233"/>
      <c r="Q87" s="233"/>
      <c r="AK87" s="229"/>
      <c r="AL87" s="386"/>
      <c r="AO87" s="240"/>
      <c r="AP87" s="240"/>
      <c r="AS87" s="240"/>
      <c r="AT87" s="388">
        <f t="shared" si="78"/>
        <v>80</v>
      </c>
      <c r="AU87" s="1081" t="str">
        <f>AT87&amp;" "&amp;IF(AW87&lt;&gt;"-",【様式2】職員名簿!B119&amp;"/"&amp;AV87&amp;"/"&amp;AW87,"")</f>
        <v xml:space="preserve">80 </v>
      </c>
      <c r="AV87" s="1081">
        <f>【様式2】職員名簿!E119</f>
        <v>0</v>
      </c>
      <c r="AW87" s="1081" t="str">
        <f>IF(【様式2】職員名簿!J119="エラー","-",IF(AND(【様式2】職員名簿!C119=$AW$3,【様式2】職員名簿!J119=$AW$4),$AW$3,【様式2】職員名簿!J119))</f>
        <v>-</v>
      </c>
      <c r="AX87" s="392">
        <f>IF($AV87="常勤",$AM$2,IF($AV87="非常勤",【様式2】職員名簿!G119,0))</f>
        <v>0</v>
      </c>
      <c r="AY87" s="415">
        <f>IF($AW87=AY$3,COUNTIF($AW$8:$AW87,AY$3),0)</f>
        <v>0</v>
      </c>
      <c r="AZ87" s="416" t="str">
        <f t="shared" si="79"/>
        <v/>
      </c>
      <c r="BA87" s="388">
        <f>IF(OR($AW87=BA$3,$AW87=BA$4),COUNTIF($AW$8:$AW87,BA$3)+COUNTIF($AW$8:$AW87,BA$4),0)</f>
        <v>0</v>
      </c>
      <c r="BB87" s="416" t="str">
        <f t="shared" si="80"/>
        <v/>
      </c>
      <c r="BC87" s="418">
        <f>IF($AW87=BC$3,COUNTIF($AW$8:$AW87,BC$3),0)</f>
        <v>0</v>
      </c>
      <c r="BD87" s="416" t="str">
        <f t="shared" si="81"/>
        <v/>
      </c>
      <c r="BE87" s="388">
        <f>IF(OR($AW87=BE$3,$AW87=BE$4),COUNTIF($AW$8:$AW87,BE$3)+COUNTIF($AW$8:$AW87,BE$4),0)</f>
        <v>0</v>
      </c>
      <c r="BF87" s="416" t="str">
        <f t="shared" si="82"/>
        <v/>
      </c>
      <c r="BG87" s="388">
        <f>IF($AW87=BG$4,COUNTIFS($AV$8:$AV87,BG$3,$AW$8:$AW87,BG$4),0)</f>
        <v>0</v>
      </c>
      <c r="BH87" s="416" t="str">
        <f t="shared" si="83"/>
        <v/>
      </c>
      <c r="BI87" s="388">
        <f>IF($AW87=BI$3,COUNTIF($AW$8:$AW87,BI$3),0)</f>
        <v>0</v>
      </c>
      <c r="BJ87" s="416" t="str">
        <f t="shared" si="84"/>
        <v/>
      </c>
      <c r="BK87" s="388">
        <f>IF($AW87=BK$3,COUNTIF($AW$8:$AW87,BK$3),0)</f>
        <v>0</v>
      </c>
      <c r="BL87" s="416" t="str">
        <f t="shared" si="85"/>
        <v/>
      </c>
      <c r="BM87" s="388">
        <f>IF($AW87&lt;&gt;BM$3,COUNTIF($AW$8:$AW87,"&lt;&gt;"&amp;BM$3),0)</f>
        <v>0</v>
      </c>
      <c r="BN87" s="416" t="str">
        <f t="shared" si="86"/>
        <v/>
      </c>
      <c r="BO87" s="388">
        <f>IF($AW87=BO$3,COUNTIF($AW$8:$AW87,BO$3),0)</f>
        <v>0</v>
      </c>
      <c r="BP87" s="416" t="str">
        <f t="shared" si="87"/>
        <v/>
      </c>
      <c r="BQ87" s="381"/>
      <c r="BR87" s="381"/>
    </row>
    <row r="88" spans="1:70" ht="15" customHeight="1">
      <c r="A88" s="2213"/>
      <c r="B88" s="2216"/>
      <c r="C88" s="2217"/>
      <c r="D88" s="2329"/>
      <c r="E88" s="2330"/>
      <c r="F88" s="2330"/>
      <c r="G88" s="2330"/>
      <c r="H88" s="2330"/>
      <c r="I88" s="2330"/>
      <c r="J88" s="2330"/>
      <c r="K88" s="2330"/>
      <c r="L88" s="2341"/>
      <c r="M88" s="2312"/>
      <c r="N88" s="2308"/>
      <c r="O88" s="2271"/>
      <c r="P88" s="233"/>
      <c r="Q88" s="425"/>
      <c r="AK88" s="386"/>
      <c r="AL88" s="386"/>
      <c r="AQ88" s="240"/>
      <c r="AR88" s="240"/>
      <c r="AS88" s="240"/>
      <c r="AT88" s="388">
        <f t="shared" si="78"/>
        <v>81</v>
      </c>
      <c r="AU88" s="1081" t="str">
        <f>AT88&amp;" "&amp;IF(AW88&lt;&gt;"-",【様式2】職員名簿!B120&amp;"/"&amp;AV88&amp;"/"&amp;AW88,"")</f>
        <v xml:space="preserve">81 </v>
      </c>
      <c r="AV88" s="1081">
        <f>【様式2】職員名簿!E120</f>
        <v>0</v>
      </c>
      <c r="AW88" s="1081" t="str">
        <f>IF(【様式2】職員名簿!J120="エラー","-",IF(AND(【様式2】職員名簿!C120=$AW$3,【様式2】職員名簿!J120=$AW$4),$AW$3,【様式2】職員名簿!J120))</f>
        <v>-</v>
      </c>
      <c r="AX88" s="392">
        <f>IF($AV88="常勤",$AM$2,IF($AV88="非常勤",【様式2】職員名簿!G120,0))</f>
        <v>0</v>
      </c>
      <c r="AY88" s="415">
        <f>IF($AW88=AY$3,COUNTIF($AW$8:$AW88,AY$3),0)</f>
        <v>0</v>
      </c>
      <c r="AZ88" s="416" t="str">
        <f t="shared" si="79"/>
        <v/>
      </c>
      <c r="BA88" s="388">
        <f>IF(OR($AW88=BA$3,$AW88=BA$4),COUNTIF($AW$8:$AW88,BA$3)+COUNTIF($AW$8:$AW88,BA$4),0)</f>
        <v>0</v>
      </c>
      <c r="BB88" s="416" t="str">
        <f t="shared" si="80"/>
        <v/>
      </c>
      <c r="BC88" s="418">
        <f>IF($AW88=BC$3,COUNTIF($AW$8:$AW88,BC$3),0)</f>
        <v>0</v>
      </c>
      <c r="BD88" s="416" t="str">
        <f t="shared" si="81"/>
        <v/>
      </c>
      <c r="BE88" s="388">
        <f>IF(OR($AW88=BE$3,$AW88=BE$4),COUNTIF($AW$8:$AW88,BE$3)+COUNTIF($AW$8:$AW88,BE$4),0)</f>
        <v>0</v>
      </c>
      <c r="BF88" s="416" t="str">
        <f t="shared" si="82"/>
        <v/>
      </c>
      <c r="BG88" s="388">
        <f>IF($AW88=BG$4,COUNTIFS($AV$8:$AV88,BG$3,$AW$8:$AW88,BG$4),0)</f>
        <v>0</v>
      </c>
      <c r="BH88" s="416" t="str">
        <f t="shared" si="83"/>
        <v/>
      </c>
      <c r="BI88" s="388">
        <f>IF($AW88=BI$3,COUNTIF($AW$8:$AW88,BI$3),0)</f>
        <v>0</v>
      </c>
      <c r="BJ88" s="416" t="str">
        <f t="shared" si="84"/>
        <v/>
      </c>
      <c r="BK88" s="388">
        <f>IF($AW88=BK$3,COUNTIF($AW$8:$AW88,BK$3),0)</f>
        <v>0</v>
      </c>
      <c r="BL88" s="416" t="str">
        <f t="shared" si="85"/>
        <v/>
      </c>
      <c r="BM88" s="388">
        <f>IF($AW88&lt;&gt;BM$3,COUNTIF($AW$8:$AW88,"&lt;&gt;"&amp;BM$3),0)</f>
        <v>0</v>
      </c>
      <c r="BN88" s="416" t="str">
        <f t="shared" si="86"/>
        <v/>
      </c>
      <c r="BO88" s="388">
        <f>IF($AW88=BO$3,COUNTIF($AW$8:$AW88,BO$3),0)</f>
        <v>0</v>
      </c>
      <c r="BP88" s="416" t="str">
        <f t="shared" si="87"/>
        <v/>
      </c>
      <c r="BQ88" s="381"/>
      <c r="BR88" s="381"/>
    </row>
    <row r="89" spans="1:70" ht="15" customHeight="1">
      <c r="A89" s="1211" t="s">
        <v>639</v>
      </c>
      <c r="B89" s="2218" t="s">
        <v>126</v>
      </c>
      <c r="C89" s="2219"/>
      <c r="D89" s="1214"/>
      <c r="E89" s="1215"/>
      <c r="F89" s="2331" t="str">
        <f>IF(Q27,"満３歳児","")</f>
        <v/>
      </c>
      <c r="G89" s="2332"/>
      <c r="H89" s="815" t="str">
        <f>IF(Q27,6,"")</f>
        <v/>
      </c>
      <c r="I89" s="650" t="s">
        <v>693</v>
      </c>
      <c r="J89" s="651" t="str">
        <f>IF(Q27,ROUNDDOWN(G10/H89,1),"")</f>
        <v/>
      </c>
      <c r="K89" s="652" t="s">
        <v>693</v>
      </c>
      <c r="L89" s="2324">
        <f>ROUND(SUM(J89:J92),0)</f>
        <v>0</v>
      </c>
      <c r="M89" s="2505">
        <f>SUM(L89:L100)</f>
        <v>0</v>
      </c>
      <c r="N89" s="2508">
        <f>H76</f>
        <v>0</v>
      </c>
      <c r="O89" s="2519">
        <f>N89-M89</f>
        <v>0</v>
      </c>
      <c r="P89" s="425"/>
      <c r="Q89" s="425"/>
      <c r="AK89" s="386"/>
      <c r="AL89" s="386"/>
      <c r="AO89" s="240"/>
      <c r="AP89" s="240"/>
      <c r="AQ89" s="240"/>
      <c r="AR89" s="240"/>
      <c r="AS89" s="234"/>
      <c r="AT89" s="388">
        <f t="shared" si="78"/>
        <v>82</v>
      </c>
      <c r="AU89" s="1081" t="str">
        <f>AT89&amp;" "&amp;IF(AW89&lt;&gt;"-",【様式2】職員名簿!B121&amp;"/"&amp;AV89&amp;"/"&amp;AW89,"")</f>
        <v xml:space="preserve">82 </v>
      </c>
      <c r="AV89" s="1081">
        <f>【様式2】職員名簿!E121</f>
        <v>0</v>
      </c>
      <c r="AW89" s="1081" t="str">
        <f>IF(【様式2】職員名簿!J121="エラー","-",IF(AND(【様式2】職員名簿!C121=$AW$3,【様式2】職員名簿!J121=$AW$4),$AW$3,【様式2】職員名簿!J121))</f>
        <v>-</v>
      </c>
      <c r="AX89" s="392">
        <f>IF($AV89="常勤",$AM$2,IF($AV89="非常勤",【様式2】職員名簿!G121,0))</f>
        <v>0</v>
      </c>
      <c r="AY89" s="415">
        <f>IF($AW89=AY$3,COUNTIF($AW$8:$AW89,AY$3),0)</f>
        <v>0</v>
      </c>
      <c r="AZ89" s="416" t="str">
        <f t="shared" si="79"/>
        <v/>
      </c>
      <c r="BA89" s="388">
        <f>IF(OR($AW89=BA$3,$AW89=BA$4),COUNTIF($AW$8:$AW89,BA$3)+COUNTIF($AW$8:$AW89,BA$4),0)</f>
        <v>0</v>
      </c>
      <c r="BB89" s="416" t="str">
        <f t="shared" si="80"/>
        <v/>
      </c>
      <c r="BC89" s="418">
        <f>IF($AW89=BC$3,COUNTIF($AW$8:$AW89,BC$3),0)</f>
        <v>0</v>
      </c>
      <c r="BD89" s="416" t="str">
        <f t="shared" si="81"/>
        <v/>
      </c>
      <c r="BE89" s="388">
        <f>IF(OR($AW89=BE$3,$AW89=BE$4),COUNTIF($AW$8:$AW89,BE$3)+COUNTIF($AW$8:$AW89,BE$4),0)</f>
        <v>0</v>
      </c>
      <c r="BF89" s="416" t="str">
        <f t="shared" si="82"/>
        <v/>
      </c>
      <c r="BG89" s="388">
        <f>IF($AW89=BG$4,COUNTIFS($AV$8:$AV89,BG$3,$AW$8:$AW89,BG$4),0)</f>
        <v>0</v>
      </c>
      <c r="BH89" s="416" t="str">
        <f t="shared" si="83"/>
        <v/>
      </c>
      <c r="BI89" s="388">
        <f>IF($AW89=BI$3,COUNTIF($AW$8:$AW89,BI$3),0)</f>
        <v>0</v>
      </c>
      <c r="BJ89" s="416" t="str">
        <f t="shared" si="84"/>
        <v/>
      </c>
      <c r="BK89" s="388">
        <f>IF($AW89=BK$3,COUNTIF($AW$8:$AW89,BK$3),0)</f>
        <v>0</v>
      </c>
      <c r="BL89" s="416" t="str">
        <f t="shared" si="85"/>
        <v/>
      </c>
      <c r="BM89" s="388">
        <f>IF($AW89&lt;&gt;BM$3,COUNTIF($AW$8:$AW89,"&lt;&gt;"&amp;BM$3),0)</f>
        <v>0</v>
      </c>
      <c r="BN89" s="416" t="str">
        <f t="shared" si="86"/>
        <v/>
      </c>
      <c r="BO89" s="388">
        <f>IF($AW89=BO$3,COUNTIF($AW$8:$AW89,BO$3),0)</f>
        <v>0</v>
      </c>
      <c r="BP89" s="416" t="str">
        <f t="shared" si="87"/>
        <v/>
      </c>
      <c r="BQ89" s="381"/>
      <c r="BR89" s="381"/>
    </row>
    <row r="90" spans="1:70" ht="15" customHeight="1">
      <c r="A90" s="1212"/>
      <c r="B90" s="2220"/>
      <c r="C90" s="2221"/>
      <c r="D90" s="2527" t="str">
        <f>"３歳児配置改善加算："&amp;N25</f>
        <v>３歳児配置改善加算：×</v>
      </c>
      <c r="E90" s="2528"/>
      <c r="F90" s="2349" t="str">
        <f>IF(Q27,"３歳児","３歳児(満３歳含）")</f>
        <v>３歳児(満３歳含）</v>
      </c>
      <c r="G90" s="2350"/>
      <c r="H90" s="816">
        <f>IF(Q25,15,20)</f>
        <v>20</v>
      </c>
      <c r="I90" s="2357" t="s">
        <v>694</v>
      </c>
      <c r="J90" s="653">
        <f>IF(Q27,ROUNDDOWN(F10/H90,1),ROUNDDOWN(SUM(F10:G10)/H90,1))</f>
        <v>0</v>
      </c>
      <c r="K90" s="2342" t="s">
        <v>716</v>
      </c>
      <c r="L90" s="2325"/>
      <c r="M90" s="2506"/>
      <c r="N90" s="2509"/>
      <c r="O90" s="2270"/>
      <c r="P90" s="425"/>
      <c r="Q90" s="425"/>
      <c r="AK90" s="386"/>
      <c r="AO90" s="240"/>
      <c r="AP90" s="240"/>
      <c r="AQ90" s="240"/>
      <c r="AR90" s="240"/>
      <c r="AS90" s="234"/>
      <c r="AT90" s="388">
        <f t="shared" si="78"/>
        <v>83</v>
      </c>
      <c r="AU90" s="1081" t="str">
        <f>AT90&amp;" "&amp;IF(AW90&lt;&gt;"-",【様式2】職員名簿!B122&amp;"/"&amp;AV90&amp;"/"&amp;AW90,"")</f>
        <v xml:space="preserve">83 </v>
      </c>
      <c r="AV90" s="1081">
        <f>【様式2】職員名簿!E122</f>
        <v>0</v>
      </c>
      <c r="AW90" s="1081" t="str">
        <f>IF(【様式2】職員名簿!J122="エラー","-",IF(AND(【様式2】職員名簿!C122=$AW$3,【様式2】職員名簿!J122=$AW$4),$AW$3,【様式2】職員名簿!J122))</f>
        <v>-</v>
      </c>
      <c r="AX90" s="392">
        <f>IF($AV90="常勤",$AM$2,IF($AV90="非常勤",【様式2】職員名簿!G122,0))</f>
        <v>0</v>
      </c>
      <c r="AY90" s="415">
        <f>IF($AW90=AY$3,COUNTIF($AW$8:$AW90,AY$3),0)</f>
        <v>0</v>
      </c>
      <c r="AZ90" s="416" t="str">
        <f t="shared" si="79"/>
        <v/>
      </c>
      <c r="BA90" s="388">
        <f>IF(OR($AW90=BA$3,$AW90=BA$4),COUNTIF($AW$8:$AW90,BA$3)+COUNTIF($AW$8:$AW90,BA$4),0)</f>
        <v>0</v>
      </c>
      <c r="BB90" s="416" t="str">
        <f t="shared" si="80"/>
        <v/>
      </c>
      <c r="BC90" s="418">
        <f>IF($AW90=BC$3,COUNTIF($AW$8:$AW90,BC$3),0)</f>
        <v>0</v>
      </c>
      <c r="BD90" s="416" t="str">
        <f t="shared" si="81"/>
        <v/>
      </c>
      <c r="BE90" s="388">
        <f>IF(OR($AW90=BE$3,$AW90=BE$4),COUNTIF($AW$8:$AW90,BE$3)+COUNTIF($AW$8:$AW90,BE$4),0)</f>
        <v>0</v>
      </c>
      <c r="BF90" s="416" t="str">
        <f t="shared" si="82"/>
        <v/>
      </c>
      <c r="BG90" s="388">
        <f>IF($AW90=BG$4,COUNTIFS($AV$8:$AV90,BG$3,$AW$8:$AW90,BG$4),0)</f>
        <v>0</v>
      </c>
      <c r="BH90" s="416" t="str">
        <f t="shared" si="83"/>
        <v/>
      </c>
      <c r="BI90" s="388">
        <f>IF($AW90=BI$3,COUNTIF($AW$8:$AW90,BI$3),0)</f>
        <v>0</v>
      </c>
      <c r="BJ90" s="416" t="str">
        <f t="shared" si="84"/>
        <v/>
      </c>
      <c r="BK90" s="388">
        <f>IF($AW90=BK$3,COUNTIF($AW$8:$AW90,BK$3),0)</f>
        <v>0</v>
      </c>
      <c r="BL90" s="416" t="str">
        <f t="shared" si="85"/>
        <v/>
      </c>
      <c r="BM90" s="388">
        <f>IF($AW90&lt;&gt;BM$3,COUNTIF($AW$8:$AW90,"&lt;&gt;"&amp;BM$3),0)</f>
        <v>0</v>
      </c>
      <c r="BN90" s="416" t="str">
        <f t="shared" si="86"/>
        <v/>
      </c>
      <c r="BO90" s="388">
        <f>IF($AW90=BO$3,COUNTIF($AW$8:$AW90,BO$3),0)</f>
        <v>0</v>
      </c>
      <c r="BP90" s="416" t="str">
        <f t="shared" si="87"/>
        <v/>
      </c>
      <c r="BQ90" s="381"/>
      <c r="BR90" s="381"/>
    </row>
    <row r="91" spans="1:70" ht="30" customHeight="1">
      <c r="A91" s="1212"/>
      <c r="B91" s="2220"/>
      <c r="C91" s="2221"/>
      <c r="D91" s="2527" t="str">
        <f>"４歳以上児配置改善加算："&amp;IF(AND(Q26,NOT(R26)),"○","×")</f>
        <v>４歳以上児配置改善加算：×</v>
      </c>
      <c r="E91" s="2528"/>
      <c r="F91" s="2351" t="s">
        <v>644</v>
      </c>
      <c r="G91" s="2352"/>
      <c r="H91" s="2343">
        <f>IF(AND(Q26,NOT(R26)),25,30)</f>
        <v>30</v>
      </c>
      <c r="I91" s="2357"/>
      <c r="J91" s="2355">
        <f>ROUNDDOWN(SUM(D10:E10)/H91,1)</f>
        <v>0</v>
      </c>
      <c r="K91" s="2342"/>
      <c r="L91" s="2325"/>
      <c r="M91" s="2506"/>
      <c r="N91" s="2509"/>
      <c r="O91" s="2270"/>
      <c r="P91" s="425"/>
      <c r="Q91" s="425"/>
      <c r="AK91" s="386"/>
      <c r="AO91" s="234"/>
      <c r="AP91" s="234"/>
      <c r="AQ91" s="234"/>
      <c r="AR91" s="234"/>
      <c r="AS91" s="234"/>
      <c r="AT91" s="388">
        <f t="shared" si="78"/>
        <v>84</v>
      </c>
      <c r="AU91" s="1081" t="str">
        <f>AT91&amp;" "&amp;IF(AW91&lt;&gt;"-",【様式2】職員名簿!B123&amp;"/"&amp;AV91&amp;"/"&amp;AW91,"")</f>
        <v xml:space="preserve">84 </v>
      </c>
      <c r="AV91" s="1081">
        <f>【様式2】職員名簿!E123</f>
        <v>0</v>
      </c>
      <c r="AW91" s="1081" t="str">
        <f>IF(【様式2】職員名簿!J123="エラー","-",IF(AND(【様式2】職員名簿!C123=$AW$3,【様式2】職員名簿!J123=$AW$4),$AW$3,【様式2】職員名簿!J123))</f>
        <v>-</v>
      </c>
      <c r="AX91" s="392">
        <f>IF($AV91="常勤",$AM$2,IF($AV91="非常勤",【様式2】職員名簿!G123,0))</f>
        <v>0</v>
      </c>
      <c r="AY91" s="415">
        <f>IF($AW91=AY$3,COUNTIF($AW$8:$AW91,AY$3),0)</f>
        <v>0</v>
      </c>
      <c r="AZ91" s="416" t="str">
        <f t="shared" si="79"/>
        <v/>
      </c>
      <c r="BA91" s="388">
        <f>IF(OR($AW91=BA$3,$AW91=BA$4),COUNTIF($AW$8:$AW91,BA$3)+COUNTIF($AW$8:$AW91,BA$4),0)</f>
        <v>0</v>
      </c>
      <c r="BB91" s="416" t="str">
        <f t="shared" si="80"/>
        <v/>
      </c>
      <c r="BC91" s="418">
        <f>IF($AW91=BC$3,COUNTIF($AW$8:$AW91,BC$3),0)</f>
        <v>0</v>
      </c>
      <c r="BD91" s="416" t="str">
        <f t="shared" si="81"/>
        <v/>
      </c>
      <c r="BE91" s="388">
        <f>IF(OR($AW91=BE$3,$AW91=BE$4),COUNTIF($AW$8:$AW91,BE$3)+COUNTIF($AW$8:$AW91,BE$4),0)</f>
        <v>0</v>
      </c>
      <c r="BF91" s="416" t="str">
        <f t="shared" si="82"/>
        <v/>
      </c>
      <c r="BG91" s="388">
        <f>IF($AW91=BG$4,COUNTIFS($AV$8:$AV91,BG$3,$AW$8:$AW91,BG$4),0)</f>
        <v>0</v>
      </c>
      <c r="BH91" s="416" t="str">
        <f t="shared" si="83"/>
        <v/>
      </c>
      <c r="BI91" s="388">
        <f>IF($AW91=BI$3,COUNTIF($AW$8:$AW91,BI$3),0)</f>
        <v>0</v>
      </c>
      <c r="BJ91" s="416" t="str">
        <f t="shared" si="84"/>
        <v/>
      </c>
      <c r="BK91" s="388">
        <f>IF($AW91=BK$3,COUNTIF($AW$8:$AW91,BK$3),0)</f>
        <v>0</v>
      </c>
      <c r="BL91" s="416" t="str">
        <f t="shared" si="85"/>
        <v/>
      </c>
      <c r="BM91" s="388">
        <f>IF($AW91&lt;&gt;BM$3,COUNTIF($AW$8:$AW91,"&lt;&gt;"&amp;BM$3),0)</f>
        <v>0</v>
      </c>
      <c r="BN91" s="416" t="str">
        <f t="shared" si="86"/>
        <v/>
      </c>
      <c r="BO91" s="388">
        <f>IF($AW91=BO$3,COUNTIF($AW$8:$AW91,BO$3),0)</f>
        <v>0</v>
      </c>
      <c r="BP91" s="416" t="str">
        <f t="shared" si="87"/>
        <v/>
      </c>
      <c r="BQ91" s="381"/>
      <c r="BR91" s="381"/>
    </row>
    <row r="92" spans="1:70" ht="15" customHeight="1">
      <c r="A92" s="1212"/>
      <c r="B92" s="2220"/>
      <c r="C92" s="2221"/>
      <c r="D92" s="2529" t="str">
        <f>"満３歳児対応加配加算："&amp;N27</f>
        <v>満３歳児対応加配加算：×</v>
      </c>
      <c r="E92" s="2530"/>
      <c r="F92" s="2353" t="s">
        <v>643</v>
      </c>
      <c r="G92" s="2354"/>
      <c r="H92" s="2344"/>
      <c r="I92" s="2357"/>
      <c r="J92" s="2356"/>
      <c r="K92" s="2342"/>
      <c r="L92" s="2325"/>
      <c r="M92" s="2506"/>
      <c r="N92" s="2509"/>
      <c r="O92" s="2270"/>
      <c r="P92" s="425"/>
      <c r="Q92" s="425"/>
      <c r="AK92" s="386"/>
      <c r="AO92" s="234"/>
      <c r="AP92" s="234"/>
      <c r="AQ92" s="234"/>
      <c r="AR92" s="234"/>
      <c r="AS92" s="234"/>
      <c r="AT92" s="388">
        <f t="shared" si="78"/>
        <v>85</v>
      </c>
      <c r="AU92" s="1081" t="str">
        <f>AT92&amp;" "&amp;IF(AW92&lt;&gt;"-",【様式2】職員名簿!B124&amp;"/"&amp;AV92&amp;"/"&amp;AW92,"")</f>
        <v xml:space="preserve">85 </v>
      </c>
      <c r="AV92" s="1081">
        <f>【様式2】職員名簿!E124</f>
        <v>0</v>
      </c>
      <c r="AW92" s="1081" t="str">
        <f>IF(【様式2】職員名簿!J124="エラー","-",IF(AND(【様式2】職員名簿!C124=$AW$3,【様式2】職員名簿!J124=$AW$4),$AW$3,【様式2】職員名簿!J124))</f>
        <v>-</v>
      </c>
      <c r="AX92" s="392">
        <f>IF($AV92="常勤",$AM$2,IF($AV92="非常勤",【様式2】職員名簿!G124,0))</f>
        <v>0</v>
      </c>
      <c r="AY92" s="415">
        <f>IF($AW92=AY$3,COUNTIF($AW$8:$AW92,AY$3),0)</f>
        <v>0</v>
      </c>
      <c r="AZ92" s="416" t="str">
        <f t="shared" si="79"/>
        <v/>
      </c>
      <c r="BA92" s="388">
        <f>IF(OR($AW92=BA$3,$AW92=BA$4),COUNTIF($AW$8:$AW92,BA$3)+COUNTIF($AW$8:$AW92,BA$4),0)</f>
        <v>0</v>
      </c>
      <c r="BB92" s="416" t="str">
        <f t="shared" si="80"/>
        <v/>
      </c>
      <c r="BC92" s="418">
        <f>IF($AW92=BC$3,COUNTIF($AW$8:$AW92,BC$3),0)</f>
        <v>0</v>
      </c>
      <c r="BD92" s="416" t="str">
        <f t="shared" si="81"/>
        <v/>
      </c>
      <c r="BE92" s="388">
        <f>IF(OR($AW92=BE$3,$AW92=BE$4),COUNTIF($AW$8:$AW92,BE$3)+COUNTIF($AW$8:$AW92,BE$4),0)</f>
        <v>0</v>
      </c>
      <c r="BF92" s="416" t="str">
        <f t="shared" si="82"/>
        <v/>
      </c>
      <c r="BG92" s="388">
        <f>IF($AW92=BG$4,COUNTIFS($AV$8:$AV92,BG$3,$AW$8:$AW92,BG$4),0)</f>
        <v>0</v>
      </c>
      <c r="BH92" s="416" t="str">
        <f t="shared" si="83"/>
        <v/>
      </c>
      <c r="BI92" s="388">
        <f>IF($AW92=BI$3,COUNTIF($AW$8:$AW92,BI$3),0)</f>
        <v>0</v>
      </c>
      <c r="BJ92" s="416" t="str">
        <f t="shared" si="84"/>
        <v/>
      </c>
      <c r="BK92" s="388">
        <f>IF($AW92=BK$3,COUNTIF($AW$8:$AW92,BK$3),0)</f>
        <v>0</v>
      </c>
      <c r="BL92" s="416" t="str">
        <f t="shared" si="85"/>
        <v/>
      </c>
      <c r="BM92" s="388">
        <f>IF($AW92&lt;&gt;BM$3,COUNTIF($AW$8:$AW92,"&lt;&gt;"&amp;BM$3),0)</f>
        <v>0</v>
      </c>
      <c r="BN92" s="416" t="str">
        <f t="shared" si="86"/>
        <v/>
      </c>
      <c r="BO92" s="388">
        <f>IF($AW92=BO$3,COUNTIF($AW$8:$AW92,BO$3),0)</f>
        <v>0</v>
      </c>
      <c r="BP92" s="416" t="str">
        <f t="shared" si="87"/>
        <v/>
      </c>
      <c r="BQ92" s="381"/>
      <c r="BR92" s="381"/>
    </row>
    <row r="93" spans="1:70" ht="15" customHeight="1">
      <c r="A93" s="1212"/>
      <c r="B93" s="2222" t="s">
        <v>645</v>
      </c>
      <c r="C93" s="2223"/>
      <c r="D93" s="2338" t="s">
        <v>733</v>
      </c>
      <c r="E93" s="2339"/>
      <c r="F93" s="2339"/>
      <c r="G93" s="2339"/>
      <c r="H93" s="2339"/>
      <c r="I93" s="2339"/>
      <c r="J93" s="2339"/>
      <c r="K93" s="2339"/>
      <c r="L93" s="775">
        <f>IF(AND(B10&gt;=36,B10&lt;=300),1,0)</f>
        <v>0</v>
      </c>
      <c r="M93" s="2506"/>
      <c r="N93" s="2509"/>
      <c r="O93" s="2270"/>
      <c r="P93" s="425"/>
      <c r="Q93" s="425"/>
      <c r="AK93" s="386"/>
      <c r="AO93" s="234"/>
      <c r="AP93" s="234"/>
      <c r="AQ93" s="234"/>
      <c r="AR93" s="234"/>
      <c r="AS93" s="234"/>
      <c r="AT93" s="388">
        <f t="shared" si="78"/>
        <v>86</v>
      </c>
      <c r="AU93" s="1081" t="str">
        <f>AT93&amp;" "&amp;IF(AW93&lt;&gt;"-",【様式2】職員名簿!B125&amp;"/"&amp;AV93&amp;"/"&amp;AW93,"")</f>
        <v xml:space="preserve">86 </v>
      </c>
      <c r="AV93" s="1081">
        <f>【様式2】職員名簿!E125</f>
        <v>0</v>
      </c>
      <c r="AW93" s="1081" t="str">
        <f>IF(【様式2】職員名簿!J125="エラー","-",IF(AND(【様式2】職員名簿!C125=$AW$3,【様式2】職員名簿!J125=$AW$4),$AW$3,【様式2】職員名簿!J125))</f>
        <v>-</v>
      </c>
      <c r="AX93" s="392">
        <f>IF($AV93="常勤",$AM$2,IF($AV93="非常勤",【様式2】職員名簿!G125,0))</f>
        <v>0</v>
      </c>
      <c r="AY93" s="415">
        <f>IF($AW93=AY$3,COUNTIF($AW$8:$AW93,AY$3),0)</f>
        <v>0</v>
      </c>
      <c r="AZ93" s="416" t="str">
        <f t="shared" si="79"/>
        <v/>
      </c>
      <c r="BA93" s="388">
        <f>IF(OR($AW93=BA$3,$AW93=BA$4),COUNTIF($AW$8:$AW93,BA$3)+COUNTIF($AW$8:$AW93,BA$4),0)</f>
        <v>0</v>
      </c>
      <c r="BB93" s="416" t="str">
        <f t="shared" si="80"/>
        <v/>
      </c>
      <c r="BC93" s="418">
        <f>IF($AW93=BC$3,COUNTIF($AW$8:$AW93,BC$3),0)</f>
        <v>0</v>
      </c>
      <c r="BD93" s="416" t="str">
        <f t="shared" si="81"/>
        <v/>
      </c>
      <c r="BE93" s="388">
        <f>IF(OR($AW93=BE$3,$AW93=BE$4),COUNTIF($AW$8:$AW93,BE$3)+COUNTIF($AW$8:$AW93,BE$4),0)</f>
        <v>0</v>
      </c>
      <c r="BF93" s="416" t="str">
        <f t="shared" si="82"/>
        <v/>
      </c>
      <c r="BG93" s="388">
        <f>IF($AW93=BG$4,COUNTIFS($AV$8:$AV93,BG$3,$AW$8:$AW93,BG$4),0)</f>
        <v>0</v>
      </c>
      <c r="BH93" s="416" t="str">
        <f t="shared" si="83"/>
        <v/>
      </c>
      <c r="BI93" s="388">
        <f>IF($AW93=BI$3,COUNTIF($AW$8:$AW93,BI$3),0)</f>
        <v>0</v>
      </c>
      <c r="BJ93" s="416" t="str">
        <f t="shared" si="84"/>
        <v/>
      </c>
      <c r="BK93" s="388">
        <f>IF($AW93=BK$3,COUNTIF($AW$8:$AW93,BK$3),0)</f>
        <v>0</v>
      </c>
      <c r="BL93" s="416" t="str">
        <f t="shared" si="85"/>
        <v/>
      </c>
      <c r="BM93" s="388">
        <f>IF($AW93&lt;&gt;BM$3,COUNTIF($AW$8:$AW93,"&lt;&gt;"&amp;BM$3),0)</f>
        <v>0</v>
      </c>
      <c r="BN93" s="416" t="str">
        <f t="shared" si="86"/>
        <v/>
      </c>
      <c r="BO93" s="388">
        <f>IF($AW93=BO$3,COUNTIF($AW$8:$AW93,BO$3),0)</f>
        <v>0</v>
      </c>
      <c r="BP93" s="416" t="str">
        <f t="shared" si="87"/>
        <v/>
      </c>
      <c r="BQ93" s="381"/>
      <c r="BR93" s="381"/>
    </row>
    <row r="94" spans="1:70" ht="15" customHeight="1">
      <c r="A94" s="1212"/>
      <c r="B94" s="2222" t="s">
        <v>663</v>
      </c>
      <c r="C94" s="2223"/>
      <c r="D94" s="2338" t="s">
        <v>734</v>
      </c>
      <c r="E94" s="2339"/>
      <c r="F94" s="2339"/>
      <c r="G94" s="2339"/>
      <c r="H94" s="2339"/>
      <c r="I94" s="2339"/>
      <c r="J94" s="2339"/>
      <c r="K94" s="2339"/>
      <c r="L94" s="775">
        <f>IF(N24="○",1,0)</f>
        <v>0</v>
      </c>
      <c r="M94" s="2506"/>
      <c r="N94" s="2509"/>
      <c r="O94" s="2270"/>
      <c r="P94" s="425"/>
      <c r="Q94" s="425"/>
      <c r="AK94" s="386"/>
      <c r="AO94" s="234"/>
      <c r="AP94" s="234"/>
      <c r="AQ94" s="234"/>
      <c r="AR94" s="234"/>
      <c r="AS94" s="234"/>
      <c r="AT94" s="388">
        <f t="shared" si="78"/>
        <v>87</v>
      </c>
      <c r="AU94" s="1081" t="str">
        <f>AT94&amp;" "&amp;IF(AW94&lt;&gt;"-",【様式2】職員名簿!B126&amp;"/"&amp;AV94&amp;"/"&amp;AW94,"")</f>
        <v xml:space="preserve">87 </v>
      </c>
      <c r="AV94" s="1081">
        <f>【様式2】職員名簿!E126</f>
        <v>0</v>
      </c>
      <c r="AW94" s="1081" t="str">
        <f>IF(【様式2】職員名簿!J126="エラー","-",IF(AND(【様式2】職員名簿!C126=$AW$3,【様式2】職員名簿!J126=$AW$4),$AW$3,【様式2】職員名簿!J126))</f>
        <v>-</v>
      </c>
      <c r="AX94" s="392">
        <f>IF($AV94="常勤",$AM$2,IF($AV94="非常勤",【様式2】職員名簿!G126,0))</f>
        <v>0</v>
      </c>
      <c r="AY94" s="415">
        <f>IF($AW94=AY$3,COUNTIF($AW$8:$AW94,AY$3),0)</f>
        <v>0</v>
      </c>
      <c r="AZ94" s="416" t="str">
        <f t="shared" si="79"/>
        <v/>
      </c>
      <c r="BA94" s="388">
        <f>IF(OR($AW94=BA$3,$AW94=BA$4),COUNTIF($AW$8:$AW94,BA$3)+COUNTIF($AW$8:$AW94,BA$4),0)</f>
        <v>0</v>
      </c>
      <c r="BB94" s="416" t="str">
        <f t="shared" si="80"/>
        <v/>
      </c>
      <c r="BC94" s="418">
        <f>IF($AW94=BC$3,COUNTIF($AW$8:$AW94,BC$3),0)</f>
        <v>0</v>
      </c>
      <c r="BD94" s="416" t="str">
        <f t="shared" si="81"/>
        <v/>
      </c>
      <c r="BE94" s="388">
        <f>IF(OR($AW94=BE$3,$AW94=BE$4),COUNTIF($AW$8:$AW94,BE$3)+COUNTIF($AW$8:$AW94,BE$4),0)</f>
        <v>0</v>
      </c>
      <c r="BF94" s="416" t="str">
        <f t="shared" si="82"/>
        <v/>
      </c>
      <c r="BG94" s="388">
        <f>IF($AW94=BG$4,COUNTIFS($AV$8:$AV94,BG$3,$AW$8:$AW94,BG$4),0)</f>
        <v>0</v>
      </c>
      <c r="BH94" s="416" t="str">
        <f t="shared" si="83"/>
        <v/>
      </c>
      <c r="BI94" s="388">
        <f>IF($AW94=BI$3,COUNTIF($AW$8:$AW94,BI$3),0)</f>
        <v>0</v>
      </c>
      <c r="BJ94" s="416" t="str">
        <f t="shared" si="84"/>
        <v/>
      </c>
      <c r="BK94" s="388">
        <f>IF($AW94=BK$3,COUNTIF($AW$8:$AW94,BK$3),0)</f>
        <v>0</v>
      </c>
      <c r="BL94" s="416" t="str">
        <f t="shared" si="85"/>
        <v/>
      </c>
      <c r="BM94" s="388">
        <f>IF($AW94&lt;&gt;BM$3,COUNTIF($AW$8:$AW94,"&lt;&gt;"&amp;BM$3),0)</f>
        <v>0</v>
      </c>
      <c r="BN94" s="416" t="str">
        <f t="shared" si="86"/>
        <v/>
      </c>
      <c r="BO94" s="388">
        <f>IF($AW94=BO$3,COUNTIF($AW$8:$AW94,BO$3),0)</f>
        <v>0</v>
      </c>
      <c r="BP94" s="416" t="str">
        <f t="shared" si="87"/>
        <v/>
      </c>
      <c r="BQ94" s="381"/>
      <c r="BR94" s="381"/>
    </row>
    <row r="95" spans="1:70" ht="15" customHeight="1">
      <c r="A95" s="1212"/>
      <c r="B95" s="2222" t="s">
        <v>708</v>
      </c>
      <c r="C95" s="2223"/>
      <c r="D95" s="2338" t="str">
        <f>"教諭（下限："&amp;IF(AL2,AL3&amp;"時間","なし")&amp;"）"</f>
        <v>教諭（下限：なし）</v>
      </c>
      <c r="E95" s="2339"/>
      <c r="F95" s="2339"/>
      <c r="G95" s="2339"/>
      <c r="H95" s="2339"/>
      <c r="I95" s="2339"/>
      <c r="J95" s="2339"/>
      <c r="K95" s="2339"/>
      <c r="L95" s="775">
        <f>IF(W28,M28,0)</f>
        <v>0</v>
      </c>
      <c r="M95" s="2506"/>
      <c r="N95" s="2509"/>
      <c r="O95" s="2270"/>
      <c r="P95" s="425"/>
      <c r="Q95" s="425"/>
      <c r="R95" s="426"/>
      <c r="S95" s="426"/>
      <c r="T95" s="426"/>
      <c r="U95" s="426"/>
      <c r="V95" s="426"/>
      <c r="W95" s="426"/>
      <c r="X95" s="426"/>
      <c r="Y95" s="426"/>
      <c r="Z95" s="426"/>
      <c r="AA95" s="426"/>
      <c r="AB95" s="426"/>
      <c r="AC95" s="426"/>
      <c r="AD95" s="426"/>
      <c r="AE95" s="426"/>
      <c r="AF95" s="426"/>
      <c r="AG95" s="426"/>
      <c r="AH95" s="426"/>
      <c r="AI95" s="426"/>
      <c r="AJ95" s="426"/>
      <c r="AK95" s="386"/>
      <c r="AO95" s="234"/>
      <c r="AP95" s="234"/>
      <c r="AQ95" s="234"/>
      <c r="AR95" s="234"/>
      <c r="AS95" s="234"/>
      <c r="AT95" s="388">
        <f t="shared" si="78"/>
        <v>88</v>
      </c>
      <c r="AU95" s="1081" t="str">
        <f>AT95&amp;" "&amp;IF(AW95&lt;&gt;"-",【様式2】職員名簿!B127&amp;"/"&amp;AV95&amp;"/"&amp;AW95,"")</f>
        <v xml:space="preserve">88 </v>
      </c>
      <c r="AV95" s="1081">
        <f>【様式2】職員名簿!E127</f>
        <v>0</v>
      </c>
      <c r="AW95" s="1081" t="str">
        <f>IF(【様式2】職員名簿!J127="エラー","-",IF(AND(【様式2】職員名簿!C127=$AW$3,【様式2】職員名簿!J127=$AW$4),$AW$3,【様式2】職員名簿!J127))</f>
        <v>-</v>
      </c>
      <c r="AX95" s="392">
        <f>IF($AV95="常勤",$AM$2,IF($AV95="非常勤",【様式2】職員名簿!G127,0))</f>
        <v>0</v>
      </c>
      <c r="AY95" s="415">
        <f>IF($AW95=AY$3,COUNTIF($AW$8:$AW95,AY$3),0)</f>
        <v>0</v>
      </c>
      <c r="AZ95" s="416" t="str">
        <f t="shared" si="79"/>
        <v/>
      </c>
      <c r="BA95" s="388">
        <f>IF(OR($AW95=BA$3,$AW95=BA$4),COUNTIF($AW$8:$AW95,BA$3)+COUNTIF($AW$8:$AW95,BA$4),0)</f>
        <v>0</v>
      </c>
      <c r="BB95" s="416" t="str">
        <f t="shared" si="80"/>
        <v/>
      </c>
      <c r="BC95" s="418">
        <f>IF($AW95=BC$3,COUNTIF($AW$8:$AW95,BC$3),0)</f>
        <v>0</v>
      </c>
      <c r="BD95" s="416" t="str">
        <f t="shared" si="81"/>
        <v/>
      </c>
      <c r="BE95" s="388">
        <f>IF(OR($AW95=BE$3,$AW95=BE$4),COUNTIF($AW$8:$AW95,BE$3)+COUNTIF($AW$8:$AW95,BE$4),0)</f>
        <v>0</v>
      </c>
      <c r="BF95" s="416" t="str">
        <f t="shared" si="82"/>
        <v/>
      </c>
      <c r="BG95" s="388">
        <f>IF($AW95=BG$4,COUNTIFS($AV$8:$AV95,BG$3,$AW$8:$AW95,BG$4),0)</f>
        <v>0</v>
      </c>
      <c r="BH95" s="416" t="str">
        <f t="shared" si="83"/>
        <v/>
      </c>
      <c r="BI95" s="388">
        <f>IF($AW95=BI$3,COUNTIF($AW$8:$AW95,BI$3),0)</f>
        <v>0</v>
      </c>
      <c r="BJ95" s="416" t="str">
        <f t="shared" si="84"/>
        <v/>
      </c>
      <c r="BK95" s="388">
        <f>IF($AW95=BK$3,COUNTIF($AW$8:$AW95,BK$3),0)</f>
        <v>0</v>
      </c>
      <c r="BL95" s="416" t="str">
        <f t="shared" si="85"/>
        <v/>
      </c>
      <c r="BM95" s="388">
        <f>IF($AW95&lt;&gt;BM$3,COUNTIF($AW$8:$AW95,"&lt;&gt;"&amp;BM$3),0)</f>
        <v>0</v>
      </c>
      <c r="BN95" s="416" t="str">
        <f t="shared" si="86"/>
        <v/>
      </c>
      <c r="BO95" s="388">
        <f>IF($AW95=BO$3,COUNTIF($AW$8:$AW95,BO$3),0)</f>
        <v>0</v>
      </c>
      <c r="BP95" s="416" t="str">
        <f t="shared" si="87"/>
        <v/>
      </c>
      <c r="BQ95" s="381"/>
      <c r="BR95" s="381"/>
    </row>
    <row r="96" spans="1:70" ht="15" customHeight="1">
      <c r="A96" s="1212"/>
      <c r="B96" s="2224" t="s">
        <v>661</v>
      </c>
      <c r="C96" s="2225"/>
      <c r="D96" s="2358" t="s">
        <v>662</v>
      </c>
      <c r="E96" s="2359"/>
      <c r="F96" s="2359"/>
      <c r="G96" s="2359"/>
      <c r="H96" s="2359"/>
      <c r="I96" s="2359"/>
      <c r="J96" s="2359"/>
      <c r="K96" s="2359"/>
      <c r="L96" s="2520">
        <f>IFERROR(IF(Q29,IF(I97&gt;1,1,IF(I97&lt;0.5,0.5,I97)),0),0)</f>
        <v>0</v>
      </c>
      <c r="M96" s="2516" t="s">
        <v>904</v>
      </c>
      <c r="N96" s="2509"/>
      <c r="O96" s="2270"/>
      <c r="P96" s="425"/>
      <c r="Q96" s="425"/>
      <c r="R96" s="426"/>
      <c r="S96" s="426"/>
      <c r="T96" s="426"/>
      <c r="U96" s="426"/>
      <c r="V96" s="426"/>
      <c r="W96" s="426"/>
      <c r="X96" s="426"/>
      <c r="Y96" s="426"/>
      <c r="Z96" s="426"/>
      <c r="AA96" s="426"/>
      <c r="AB96" s="426"/>
      <c r="AC96" s="426"/>
      <c r="AD96" s="426"/>
      <c r="AE96" s="426"/>
      <c r="AF96" s="426"/>
      <c r="AG96" s="426"/>
      <c r="AH96" s="426"/>
      <c r="AI96" s="426"/>
      <c r="AJ96" s="426"/>
      <c r="AK96" s="386"/>
      <c r="AO96" s="234"/>
      <c r="AP96" s="234"/>
      <c r="AQ96" s="234"/>
      <c r="AR96" s="234"/>
      <c r="AS96" s="234"/>
      <c r="AT96" s="388">
        <f t="shared" si="78"/>
        <v>89</v>
      </c>
      <c r="AU96" s="1081" t="str">
        <f>AT96&amp;" "&amp;IF(AW96&lt;&gt;"-",【様式2】職員名簿!B128&amp;"/"&amp;AV96&amp;"/"&amp;AW96,"")</f>
        <v xml:space="preserve">89 </v>
      </c>
      <c r="AV96" s="1081">
        <f>【様式2】職員名簿!E128</f>
        <v>0</v>
      </c>
      <c r="AW96" s="1081" t="str">
        <f>IF(【様式2】職員名簿!J128="エラー","-",IF(AND(【様式2】職員名簿!C128=$AW$3,【様式2】職員名簿!J128=$AW$4),$AW$3,【様式2】職員名簿!J128))</f>
        <v>-</v>
      </c>
      <c r="AX96" s="392">
        <f>IF($AV96="常勤",$AM$2,IF($AV96="非常勤",【様式2】職員名簿!G128,0))</f>
        <v>0</v>
      </c>
      <c r="AY96" s="415">
        <f>IF($AW96=AY$3,COUNTIF($AW$8:$AW96,AY$3),0)</f>
        <v>0</v>
      </c>
      <c r="AZ96" s="416" t="str">
        <f t="shared" si="79"/>
        <v/>
      </c>
      <c r="BA96" s="388">
        <f>IF(OR($AW96=BA$3,$AW96=BA$4),COUNTIF($AW$8:$AW96,BA$3)+COUNTIF($AW$8:$AW96,BA$4),0)</f>
        <v>0</v>
      </c>
      <c r="BB96" s="416" t="str">
        <f t="shared" si="80"/>
        <v/>
      </c>
      <c r="BC96" s="418">
        <f>IF($AW96=BC$3,COUNTIF($AW$8:$AW96,BC$3),0)</f>
        <v>0</v>
      </c>
      <c r="BD96" s="416" t="str">
        <f t="shared" si="81"/>
        <v/>
      </c>
      <c r="BE96" s="388">
        <f>IF(OR($AW96=BE$3,$AW96=BE$4),COUNTIF($AW$8:$AW96,BE$3)+COUNTIF($AW$8:$AW96,BE$4),0)</f>
        <v>0</v>
      </c>
      <c r="BF96" s="416" t="str">
        <f t="shared" si="82"/>
        <v/>
      </c>
      <c r="BG96" s="388">
        <f>IF($AW96=BG$4,COUNTIFS($AV$8:$AV96,BG$3,$AW$8:$AW96,BG$4),0)</f>
        <v>0</v>
      </c>
      <c r="BH96" s="416" t="str">
        <f t="shared" si="83"/>
        <v/>
      </c>
      <c r="BI96" s="388">
        <f>IF($AW96=BI$3,COUNTIF($AW$8:$AW96,BI$3),0)</f>
        <v>0</v>
      </c>
      <c r="BJ96" s="416" t="str">
        <f t="shared" si="84"/>
        <v/>
      </c>
      <c r="BK96" s="388">
        <f>IF($AW96=BK$3,COUNTIF($AW$8:$AW96,BK$3),0)</f>
        <v>0</v>
      </c>
      <c r="BL96" s="416" t="str">
        <f t="shared" si="85"/>
        <v/>
      </c>
      <c r="BM96" s="388">
        <f>IF($AW96&lt;&gt;BM$3,COUNTIF($AW$8:$AW96,"&lt;&gt;"&amp;BM$3),0)</f>
        <v>0</v>
      </c>
      <c r="BN96" s="416" t="str">
        <f t="shared" si="86"/>
        <v/>
      </c>
      <c r="BO96" s="388">
        <f>IF($AW96=BO$3,COUNTIF($AW$8:$AW96,BO$3),0)</f>
        <v>0</v>
      </c>
      <c r="BP96" s="416" t="str">
        <f t="shared" si="87"/>
        <v/>
      </c>
      <c r="BQ96" s="381"/>
      <c r="BR96" s="381"/>
    </row>
    <row r="97" spans="1:70" ht="15" customHeight="1">
      <c r="A97" s="1212"/>
      <c r="B97" s="2226"/>
      <c r="C97" s="2227"/>
      <c r="D97" s="654" t="s">
        <v>659</v>
      </c>
      <c r="E97" s="655"/>
      <c r="F97" s="656">
        <f>【様式１】総括表・個票!AA215</f>
        <v>0</v>
      </c>
      <c r="G97" s="2318" t="s">
        <v>808</v>
      </c>
      <c r="H97" s="2318"/>
      <c r="I97" s="2347">
        <f>IFERROR(F97/F98,1)</f>
        <v>1</v>
      </c>
      <c r="J97" s="2320" t="s">
        <v>693</v>
      </c>
      <c r="K97" s="2321"/>
      <c r="L97" s="2521"/>
      <c r="M97" s="2516"/>
      <c r="N97" s="2509"/>
      <c r="O97" s="2270"/>
      <c r="P97" s="425"/>
      <c r="Q97" s="425"/>
      <c r="R97" s="426"/>
      <c r="S97" s="426"/>
      <c r="T97" s="426"/>
      <c r="U97" s="426"/>
      <c r="V97" s="426"/>
      <c r="W97" s="426"/>
      <c r="X97" s="426"/>
      <c r="Y97" s="426"/>
      <c r="Z97" s="426"/>
      <c r="AA97" s="426"/>
      <c r="AB97" s="426"/>
      <c r="AC97" s="426"/>
      <c r="AD97" s="426"/>
      <c r="AE97" s="426"/>
      <c r="AF97" s="426"/>
      <c r="AG97" s="426"/>
      <c r="AH97" s="426"/>
      <c r="AI97" s="426"/>
      <c r="AJ97" s="426"/>
      <c r="AK97" s="386"/>
      <c r="AO97" s="234"/>
      <c r="AP97" s="234"/>
      <c r="AQ97" s="234"/>
      <c r="AR97" s="234"/>
      <c r="AS97" s="234"/>
      <c r="AT97" s="388">
        <f t="shared" si="78"/>
        <v>90</v>
      </c>
      <c r="AU97" s="1081" t="str">
        <f>AT97&amp;" "&amp;IF(AW97&lt;&gt;"-",【様式2】職員名簿!B129&amp;"/"&amp;AV97&amp;"/"&amp;AW97,"")</f>
        <v xml:space="preserve">90 </v>
      </c>
      <c r="AV97" s="1081">
        <f>【様式2】職員名簿!E129</f>
        <v>0</v>
      </c>
      <c r="AW97" s="1081" t="str">
        <f>IF(【様式2】職員名簿!J129="エラー","-",IF(AND(【様式2】職員名簿!C129=$AW$3,【様式2】職員名簿!J129=$AW$4),$AW$3,【様式2】職員名簿!J129))</f>
        <v>-</v>
      </c>
      <c r="AX97" s="392">
        <f>IF($AV97="常勤",$AM$2,IF($AV97="非常勤",【様式2】職員名簿!G129,0))</f>
        <v>0</v>
      </c>
      <c r="AY97" s="415">
        <f>IF($AW97=AY$3,COUNTIF($AW$8:$AW97,AY$3),0)</f>
        <v>0</v>
      </c>
      <c r="AZ97" s="416" t="str">
        <f t="shared" si="79"/>
        <v/>
      </c>
      <c r="BA97" s="388">
        <f>IF(OR($AW97=BA$3,$AW97=BA$4),COUNTIF($AW$8:$AW97,BA$3)+COUNTIF($AW$8:$AW97,BA$4),0)</f>
        <v>0</v>
      </c>
      <c r="BB97" s="416" t="str">
        <f t="shared" si="80"/>
        <v/>
      </c>
      <c r="BC97" s="418">
        <f>IF($AW97=BC$3,COUNTIF($AW$8:$AW97,BC$3),0)</f>
        <v>0</v>
      </c>
      <c r="BD97" s="416" t="str">
        <f t="shared" si="81"/>
        <v/>
      </c>
      <c r="BE97" s="388">
        <f>IF(OR($AW97=BE$3,$AW97=BE$4),COUNTIF($AW$8:$AW97,BE$3)+COUNTIF($AW$8:$AW97,BE$4),0)</f>
        <v>0</v>
      </c>
      <c r="BF97" s="416" t="str">
        <f t="shared" si="82"/>
        <v/>
      </c>
      <c r="BG97" s="388">
        <f>IF($AW97=BG$4,COUNTIFS($AV$8:$AV97,BG$3,$AW$8:$AW97,BG$4),0)</f>
        <v>0</v>
      </c>
      <c r="BH97" s="416" t="str">
        <f t="shared" si="83"/>
        <v/>
      </c>
      <c r="BI97" s="388">
        <f>IF($AW97=BI$3,COUNTIF($AW$8:$AW97,BI$3),0)</f>
        <v>0</v>
      </c>
      <c r="BJ97" s="416" t="str">
        <f t="shared" si="84"/>
        <v/>
      </c>
      <c r="BK97" s="388">
        <f>IF($AW97=BK$3,COUNTIF($AW$8:$AW97,BK$3),0)</f>
        <v>0</v>
      </c>
      <c r="BL97" s="416" t="str">
        <f t="shared" si="85"/>
        <v/>
      </c>
      <c r="BM97" s="388">
        <f>IF($AW97&lt;&gt;BM$3,COUNTIF($AW$8:$AW97,"&lt;&gt;"&amp;BM$3),0)</f>
        <v>0</v>
      </c>
      <c r="BN97" s="416" t="str">
        <f t="shared" si="86"/>
        <v/>
      </c>
      <c r="BO97" s="388">
        <f>IF($AW97=BO$3,COUNTIF($AW$8:$AW97,BO$3),0)</f>
        <v>0</v>
      </c>
      <c r="BP97" s="416" t="str">
        <f t="shared" si="87"/>
        <v/>
      </c>
      <c r="BQ97" s="381"/>
      <c r="BR97" s="381"/>
    </row>
    <row r="98" spans="1:70" ht="15" customHeight="1">
      <c r="A98" s="1212"/>
      <c r="B98" s="2228"/>
      <c r="C98" s="2229"/>
      <c r="D98" s="1228" t="s">
        <v>660</v>
      </c>
      <c r="E98" s="657"/>
      <c r="F98" s="658">
        <f>【様式１】総括表・個票!AA216</f>
        <v>0</v>
      </c>
      <c r="G98" s="2319" t="s">
        <v>807</v>
      </c>
      <c r="H98" s="2319"/>
      <c r="I98" s="2348"/>
      <c r="J98" s="2322" t="s">
        <v>809</v>
      </c>
      <c r="K98" s="2323"/>
      <c r="L98" s="2522"/>
      <c r="M98" s="2516"/>
      <c r="N98" s="2509"/>
      <c r="O98" s="2270"/>
      <c r="P98" s="425"/>
      <c r="Q98" s="425"/>
      <c r="R98" s="426"/>
      <c r="S98" s="426"/>
      <c r="T98" s="426"/>
      <c r="U98" s="426"/>
      <c r="V98" s="426"/>
      <c r="W98" s="426"/>
      <c r="X98" s="426"/>
      <c r="Y98" s="426"/>
      <c r="Z98" s="426"/>
      <c r="AA98" s="426"/>
      <c r="AB98" s="426"/>
      <c r="AC98" s="426"/>
      <c r="AD98" s="426"/>
      <c r="AE98" s="426"/>
      <c r="AF98" s="426"/>
      <c r="AG98" s="426"/>
      <c r="AH98" s="426"/>
      <c r="AI98" s="426"/>
      <c r="AJ98" s="426"/>
      <c r="AK98" s="386"/>
      <c r="AO98" s="234"/>
      <c r="AP98" s="234"/>
      <c r="AQ98" s="234"/>
      <c r="AR98" s="234"/>
      <c r="AS98" s="234"/>
      <c r="AT98" s="388">
        <f t="shared" si="78"/>
        <v>91</v>
      </c>
      <c r="AU98" s="1081" t="str">
        <f>AT98&amp;" "&amp;IF(AW98&lt;&gt;"-",【様式2】職員名簿!B130&amp;"/"&amp;AV98&amp;"/"&amp;AW98,"")</f>
        <v xml:space="preserve">91 </v>
      </c>
      <c r="AV98" s="1081">
        <f>【様式2】職員名簿!E130</f>
        <v>0</v>
      </c>
      <c r="AW98" s="1081" t="str">
        <f>IF(【様式2】職員名簿!J130="エラー","-",IF(AND(【様式2】職員名簿!C130=$AW$3,【様式2】職員名簿!J130=$AW$4),$AW$3,【様式2】職員名簿!J130))</f>
        <v>-</v>
      </c>
      <c r="AX98" s="392">
        <f>IF($AV98="常勤",$AM$2,IF($AV98="非常勤",【様式2】職員名簿!G130,0))</f>
        <v>0</v>
      </c>
      <c r="AY98" s="415">
        <f>IF($AW98=AY$3,COUNTIF($AW$8:$AW98,AY$3),0)</f>
        <v>0</v>
      </c>
      <c r="AZ98" s="416" t="str">
        <f t="shared" si="79"/>
        <v/>
      </c>
      <c r="BA98" s="388">
        <f>IF(OR($AW98=BA$3,$AW98=BA$4),COUNTIF($AW$8:$AW98,BA$3)+COUNTIF($AW$8:$AW98,BA$4),0)</f>
        <v>0</v>
      </c>
      <c r="BB98" s="416" t="str">
        <f t="shared" si="80"/>
        <v/>
      </c>
      <c r="BC98" s="418">
        <f>IF($AW98=BC$3,COUNTIF($AW$8:$AW98,BC$3),0)</f>
        <v>0</v>
      </c>
      <c r="BD98" s="416" t="str">
        <f t="shared" si="81"/>
        <v/>
      </c>
      <c r="BE98" s="388">
        <f>IF(OR($AW98=BE$3,$AW98=BE$4),COUNTIF($AW$8:$AW98,BE$3)+COUNTIF($AW$8:$AW98,BE$4),0)</f>
        <v>0</v>
      </c>
      <c r="BF98" s="416" t="str">
        <f t="shared" si="82"/>
        <v/>
      </c>
      <c r="BG98" s="388">
        <f>IF($AW98=BG$4,COUNTIFS($AV$8:$AV98,BG$3,$AW$8:$AW98,BG$4),0)</f>
        <v>0</v>
      </c>
      <c r="BH98" s="416" t="str">
        <f t="shared" si="83"/>
        <v/>
      </c>
      <c r="BI98" s="388">
        <f>IF($AW98=BI$3,COUNTIF($AW$8:$AW98,BI$3),0)</f>
        <v>0</v>
      </c>
      <c r="BJ98" s="416" t="str">
        <f t="shared" si="84"/>
        <v/>
      </c>
      <c r="BK98" s="388">
        <f>IF($AW98=BK$3,COUNTIF($AW$8:$AW98,BK$3),0)</f>
        <v>0</v>
      </c>
      <c r="BL98" s="416" t="str">
        <f t="shared" si="85"/>
        <v/>
      </c>
      <c r="BM98" s="388">
        <f>IF($AW98&lt;&gt;BM$3,COUNTIF($AW$8:$AW98,"&lt;&gt;"&amp;BM$3),0)</f>
        <v>0</v>
      </c>
      <c r="BN98" s="416" t="str">
        <f t="shared" si="86"/>
        <v/>
      </c>
      <c r="BO98" s="388">
        <f>IF($AW98=BO$3,COUNTIF($AW$8:$AW98,BO$3),0)</f>
        <v>0</v>
      </c>
      <c r="BP98" s="416" t="str">
        <f t="shared" si="87"/>
        <v/>
      </c>
      <c r="BQ98" s="381"/>
      <c r="BR98" s="381"/>
    </row>
    <row r="99" spans="1:70" ht="15" customHeight="1">
      <c r="A99" s="1212"/>
      <c r="B99" s="2204" t="s">
        <v>901</v>
      </c>
      <c r="C99" s="2243"/>
      <c r="D99" s="2334" t="s">
        <v>902</v>
      </c>
      <c r="E99" s="2514"/>
      <c r="F99" s="2514"/>
      <c r="G99" s="2514"/>
      <c r="H99" s="2514"/>
      <c r="I99" s="2514"/>
      <c r="J99" s="2514"/>
      <c r="K99" s="2515"/>
      <c r="L99" s="1089">
        <f>IF(E33=0,0,IF(E33&gt;J34,"エラー",IF(H76-M99-E33&gt;=0,E33,H76-M99)))</f>
        <v>0</v>
      </c>
      <c r="M99" s="2517">
        <f>SUM(L89:L98,L100)</f>
        <v>0</v>
      </c>
      <c r="N99" s="2509"/>
      <c r="O99" s="2270"/>
      <c r="P99" s="425"/>
      <c r="Q99" s="427"/>
      <c r="R99" s="426"/>
      <c r="S99" s="426"/>
      <c r="T99" s="426"/>
      <c r="U99" s="426"/>
      <c r="V99" s="426"/>
      <c r="W99" s="426"/>
      <c r="X99" s="426"/>
      <c r="Y99" s="426"/>
      <c r="Z99" s="426"/>
      <c r="AA99" s="426"/>
      <c r="AB99" s="426"/>
      <c r="AC99" s="426"/>
      <c r="AD99" s="426"/>
      <c r="AE99" s="426"/>
      <c r="AF99" s="426"/>
      <c r="AG99" s="426"/>
      <c r="AH99" s="426"/>
      <c r="AI99" s="426"/>
      <c r="AJ99" s="426"/>
      <c r="AO99" s="234"/>
      <c r="AP99" s="234"/>
      <c r="AQ99" s="234"/>
      <c r="AR99" s="234"/>
      <c r="AS99" s="234"/>
      <c r="AT99" s="388">
        <f t="shared" si="78"/>
        <v>92</v>
      </c>
      <c r="AU99" s="1081" t="str">
        <f>AT99&amp;" "&amp;IF(AW99&lt;&gt;"-",【様式2】職員名簿!B131&amp;"/"&amp;AV99&amp;"/"&amp;AW99,"")</f>
        <v xml:space="preserve">92 </v>
      </c>
      <c r="AV99" s="1081">
        <f>【様式2】職員名簿!E131</f>
        <v>0</v>
      </c>
      <c r="AW99" s="1081" t="str">
        <f>IF(【様式2】職員名簿!J131="エラー","-",IF(AND(【様式2】職員名簿!C131=$AW$3,【様式2】職員名簿!J131=$AW$4),$AW$3,【様式2】職員名簿!J131))</f>
        <v>-</v>
      </c>
      <c r="AX99" s="392">
        <f>IF($AV99="常勤",$AM$2,IF($AV99="非常勤",【様式2】職員名簿!G131,0))</f>
        <v>0</v>
      </c>
      <c r="AY99" s="415">
        <f>IF($AW99=AY$3,COUNTIF($AW$8:$AW99,AY$3),0)</f>
        <v>0</v>
      </c>
      <c r="AZ99" s="416" t="str">
        <f t="shared" si="79"/>
        <v/>
      </c>
      <c r="BA99" s="388">
        <f>IF(OR($AW99=BA$3,$AW99=BA$4),COUNTIF($AW$8:$AW99,BA$3)+COUNTIF($AW$8:$AW99,BA$4),0)</f>
        <v>0</v>
      </c>
      <c r="BB99" s="416" t="str">
        <f t="shared" si="80"/>
        <v/>
      </c>
      <c r="BC99" s="418">
        <f>IF($AW99=BC$3,COUNTIF($AW$8:$AW99,BC$3),0)</f>
        <v>0</v>
      </c>
      <c r="BD99" s="416" t="str">
        <f t="shared" si="81"/>
        <v/>
      </c>
      <c r="BE99" s="388">
        <f>IF(OR($AW99=BE$3,$AW99=BE$4),COUNTIF($AW$8:$AW99,BE$3)+COUNTIF($AW$8:$AW99,BE$4),0)</f>
        <v>0</v>
      </c>
      <c r="BF99" s="416" t="str">
        <f t="shared" si="82"/>
        <v/>
      </c>
      <c r="BG99" s="388">
        <f>IF($AW99=BG$4,COUNTIFS($AV$8:$AV99,BG$3,$AW$8:$AW99,BG$4),0)</f>
        <v>0</v>
      </c>
      <c r="BH99" s="416" t="str">
        <f t="shared" si="83"/>
        <v/>
      </c>
      <c r="BI99" s="388">
        <f>IF($AW99=BI$3,COUNTIF($AW$8:$AW99,BI$3),0)</f>
        <v>0</v>
      </c>
      <c r="BJ99" s="416" t="str">
        <f t="shared" si="84"/>
        <v/>
      </c>
      <c r="BK99" s="388">
        <f>IF($AW99=BK$3,COUNTIF($AW$8:$AW99,BK$3),0)</f>
        <v>0</v>
      </c>
      <c r="BL99" s="416" t="str">
        <f t="shared" si="85"/>
        <v/>
      </c>
      <c r="BM99" s="388">
        <f>IF($AW99&lt;&gt;BM$3,COUNTIF($AW$8:$AW99,"&lt;&gt;"&amp;BM$3),0)</f>
        <v>0</v>
      </c>
      <c r="BN99" s="416" t="str">
        <f t="shared" si="86"/>
        <v/>
      </c>
      <c r="BO99" s="388">
        <f>IF($AW99=BO$3,COUNTIF($AW$8:$AW99,BO$3),0)</f>
        <v>0</v>
      </c>
      <c r="BP99" s="416" t="str">
        <f t="shared" si="87"/>
        <v/>
      </c>
      <c r="BQ99" s="381"/>
      <c r="BR99" s="381"/>
    </row>
    <row r="100" spans="1:70" ht="15" customHeight="1">
      <c r="A100" s="1213"/>
      <c r="B100" s="2230" t="s">
        <v>709</v>
      </c>
      <c r="C100" s="2231"/>
      <c r="D100" s="2345" t="str">
        <f>D95</f>
        <v>教諭（下限：なし）</v>
      </c>
      <c r="E100" s="2346"/>
      <c r="F100" s="2346"/>
      <c r="G100" s="2346"/>
      <c r="H100" s="2346"/>
      <c r="I100" s="2346"/>
      <c r="J100" s="2346"/>
      <c r="K100" s="2346"/>
      <c r="L100" s="812">
        <f>IF(W35,M35,0)</f>
        <v>0</v>
      </c>
      <c r="M100" s="2518"/>
      <c r="N100" s="2510"/>
      <c r="O100" s="2271"/>
      <c r="P100" s="427"/>
      <c r="Q100" s="427"/>
      <c r="R100" s="426"/>
      <c r="S100" s="426"/>
      <c r="T100" s="426"/>
      <c r="U100" s="426"/>
      <c r="V100" s="426"/>
      <c r="W100" s="426"/>
      <c r="X100" s="426"/>
      <c r="Y100" s="426"/>
      <c r="Z100" s="426"/>
      <c r="AA100" s="426"/>
      <c r="AB100" s="426"/>
      <c r="AC100" s="426"/>
      <c r="AD100" s="426"/>
      <c r="AE100" s="426"/>
      <c r="AF100" s="426"/>
      <c r="AG100" s="426"/>
      <c r="AH100" s="426"/>
      <c r="AI100" s="426"/>
      <c r="AJ100" s="426"/>
      <c r="AK100" s="386"/>
      <c r="AO100" s="234"/>
      <c r="AP100" s="234"/>
      <c r="AQ100" s="234"/>
      <c r="AR100" s="234"/>
      <c r="AS100" s="234"/>
      <c r="AT100" s="388">
        <f t="shared" si="78"/>
        <v>93</v>
      </c>
      <c r="AU100" s="1081" t="str">
        <f>AT100&amp;" "&amp;IF(AW100&lt;&gt;"-",【様式2】職員名簿!B132&amp;"/"&amp;AV100&amp;"/"&amp;AW100,"")</f>
        <v xml:space="preserve">93 </v>
      </c>
      <c r="AV100" s="1081">
        <f>【様式2】職員名簿!E132</f>
        <v>0</v>
      </c>
      <c r="AW100" s="1081" t="str">
        <f>IF(【様式2】職員名簿!J132="エラー","-",IF(AND(【様式2】職員名簿!C132=$AW$3,【様式2】職員名簿!J132=$AW$4),$AW$3,【様式2】職員名簿!J132))</f>
        <v>-</v>
      </c>
      <c r="AX100" s="392">
        <f>IF($AV100="常勤",$AM$2,IF($AV100="非常勤",【様式2】職員名簿!G132,0))</f>
        <v>0</v>
      </c>
      <c r="AY100" s="415">
        <f>IF($AW100=AY$3,COUNTIF($AW$8:$AW100,AY$3),0)</f>
        <v>0</v>
      </c>
      <c r="AZ100" s="416" t="str">
        <f t="shared" si="79"/>
        <v/>
      </c>
      <c r="BA100" s="388">
        <f>IF(OR($AW100=BA$3,$AW100=BA$4),COUNTIF($AW$8:$AW100,BA$3)+COUNTIF($AW$8:$AW100,BA$4),0)</f>
        <v>0</v>
      </c>
      <c r="BB100" s="416" t="str">
        <f t="shared" si="80"/>
        <v/>
      </c>
      <c r="BC100" s="418">
        <f>IF($AW100=BC$3,COUNTIF($AW$8:$AW100,BC$3),0)</f>
        <v>0</v>
      </c>
      <c r="BD100" s="416" t="str">
        <f t="shared" si="81"/>
        <v/>
      </c>
      <c r="BE100" s="388">
        <f>IF(OR($AW100=BE$3,$AW100=BE$4),COUNTIF($AW$8:$AW100,BE$3)+COUNTIF($AW$8:$AW100,BE$4),0)</f>
        <v>0</v>
      </c>
      <c r="BF100" s="416" t="str">
        <f t="shared" si="82"/>
        <v/>
      </c>
      <c r="BG100" s="388">
        <f>IF($AW100=BG$4,COUNTIFS($AV$8:$AV100,BG$3,$AW$8:$AW100,BG$4),0)</f>
        <v>0</v>
      </c>
      <c r="BH100" s="416" t="str">
        <f t="shared" si="83"/>
        <v/>
      </c>
      <c r="BI100" s="388">
        <f>IF($AW100=BI$3,COUNTIF($AW$8:$AW100,BI$3),0)</f>
        <v>0</v>
      </c>
      <c r="BJ100" s="416" t="str">
        <f t="shared" si="84"/>
        <v/>
      </c>
      <c r="BK100" s="388">
        <f>IF($AW100=BK$3,COUNTIF($AW$8:$AW100,BK$3),0)</f>
        <v>0</v>
      </c>
      <c r="BL100" s="416" t="str">
        <f t="shared" si="85"/>
        <v/>
      </c>
      <c r="BM100" s="388">
        <f>IF($AW100&lt;&gt;BM$3,COUNTIF($AW$8:$AW100,"&lt;&gt;"&amp;BM$3),0)</f>
        <v>0</v>
      </c>
      <c r="BN100" s="416" t="str">
        <f t="shared" si="86"/>
        <v/>
      </c>
      <c r="BO100" s="388">
        <f>IF($AW100=BO$3,COUNTIF($AW$8:$AW100,BO$3),0)</f>
        <v>0</v>
      </c>
      <c r="BP100" s="416" t="str">
        <f t="shared" si="87"/>
        <v/>
      </c>
      <c r="BQ100" s="381"/>
      <c r="BR100" s="381"/>
    </row>
    <row r="101" spans="1:70" ht="15" customHeight="1">
      <c r="A101" s="990" t="s">
        <v>1153</v>
      </c>
      <c r="B101" s="2239" t="s">
        <v>666</v>
      </c>
      <c r="C101" s="2240"/>
      <c r="D101" s="1503" t="str">
        <f>IF(R37=1,"栄養管理加算（配置）の場合は専任栄養士等",IF(OR(R37=2,R37=3),"栄養管理加算（兼務又は嘱託）の場合は専任栄養士等の配置不要",""))</f>
        <v/>
      </c>
      <c r="E101" s="1503"/>
      <c r="F101" s="1503"/>
      <c r="G101" s="1503"/>
      <c r="H101" s="1503"/>
      <c r="I101" s="1509"/>
      <c r="J101" s="1509"/>
      <c r="K101" s="1509"/>
      <c r="L101" s="776">
        <f>IF(AND(Q37,R37=1),M37,0)</f>
        <v>0</v>
      </c>
      <c r="M101" s="2523">
        <f>SUM(L101:L102)</f>
        <v>0</v>
      </c>
      <c r="N101" s="2508">
        <f>SUM(H78:H79)</f>
        <v>0</v>
      </c>
      <c r="O101" s="2511">
        <f>N101-M101</f>
        <v>0</v>
      </c>
      <c r="P101" s="427"/>
      <c r="Q101" s="427"/>
      <c r="R101" s="426"/>
      <c r="S101" s="426"/>
      <c r="T101" s="426"/>
      <c r="U101" s="426"/>
      <c r="V101" s="426"/>
      <c r="W101" s="426"/>
      <c r="X101" s="426"/>
      <c r="Y101" s="426"/>
      <c r="Z101" s="426"/>
      <c r="AA101" s="426"/>
      <c r="AB101" s="426"/>
      <c r="AC101" s="426"/>
      <c r="AD101" s="426"/>
      <c r="AE101" s="426"/>
      <c r="AF101" s="426"/>
      <c r="AG101" s="426"/>
      <c r="AH101" s="426"/>
      <c r="AI101" s="426"/>
      <c r="AJ101" s="426"/>
      <c r="AK101" s="386"/>
      <c r="AO101" s="234"/>
      <c r="AP101" s="234"/>
      <c r="AQ101" s="234"/>
      <c r="AR101" s="234"/>
      <c r="AS101" s="234"/>
      <c r="AT101" s="388">
        <f t="shared" si="78"/>
        <v>94</v>
      </c>
      <c r="AU101" s="1081" t="str">
        <f>AT101&amp;" "&amp;IF(AW101&lt;&gt;"-",【様式2】職員名簿!B133&amp;"/"&amp;AV101&amp;"/"&amp;AW101,"")</f>
        <v xml:space="preserve">94 </v>
      </c>
      <c r="AV101" s="1081">
        <f>【様式2】職員名簿!E133</f>
        <v>0</v>
      </c>
      <c r="AW101" s="1081" t="str">
        <f>IF(【様式2】職員名簿!J133="エラー","-",IF(AND(【様式2】職員名簿!C133=$AW$3,【様式2】職員名簿!J133=$AW$4),$AW$3,【様式2】職員名簿!J133))</f>
        <v>-</v>
      </c>
      <c r="AX101" s="392">
        <f>IF($AV101="常勤",$AM$2,IF($AV101="非常勤",【様式2】職員名簿!G133,0))</f>
        <v>0</v>
      </c>
      <c r="AY101" s="415">
        <f>IF($AW101=AY$3,COUNTIF($AW$8:$AW101,AY$3),0)</f>
        <v>0</v>
      </c>
      <c r="AZ101" s="416" t="str">
        <f t="shared" si="79"/>
        <v/>
      </c>
      <c r="BA101" s="388">
        <f>IF(OR($AW101=BA$3,$AW101=BA$4),COUNTIF($AW$8:$AW101,BA$3)+COUNTIF($AW$8:$AW101,BA$4),0)</f>
        <v>0</v>
      </c>
      <c r="BB101" s="416" t="str">
        <f t="shared" si="80"/>
        <v/>
      </c>
      <c r="BC101" s="418">
        <f>IF($AW101=BC$3,COUNTIF($AW$8:$AW101,BC$3),0)</f>
        <v>0</v>
      </c>
      <c r="BD101" s="416" t="str">
        <f t="shared" si="81"/>
        <v/>
      </c>
      <c r="BE101" s="388">
        <f>IF(OR($AW101=BE$3,$AW101=BE$4),COUNTIF($AW$8:$AW101,BE$3)+COUNTIF($AW$8:$AW101,BE$4),0)</f>
        <v>0</v>
      </c>
      <c r="BF101" s="416" t="str">
        <f t="shared" si="82"/>
        <v/>
      </c>
      <c r="BG101" s="388">
        <f>IF($AW101=BG$4,COUNTIFS($AV$8:$AV101,BG$3,$AW$8:$AW101,BG$4),0)</f>
        <v>0</v>
      </c>
      <c r="BH101" s="416" t="str">
        <f t="shared" si="83"/>
        <v/>
      </c>
      <c r="BI101" s="388">
        <f>IF($AW101=BI$3,COUNTIF($AW$8:$AW101,BI$3),0)</f>
        <v>0</v>
      </c>
      <c r="BJ101" s="416" t="str">
        <f t="shared" si="84"/>
        <v/>
      </c>
      <c r="BK101" s="388">
        <f>IF($AW101=BK$3,COUNTIF($AW$8:$AW101,BK$3),0)</f>
        <v>0</v>
      </c>
      <c r="BL101" s="416" t="str">
        <f t="shared" si="85"/>
        <v/>
      </c>
      <c r="BM101" s="388">
        <f>IF($AW101&lt;&gt;BM$3,COUNTIF($AW$8:$AW101,"&lt;&gt;"&amp;BM$3),0)</f>
        <v>0</v>
      </c>
      <c r="BN101" s="416" t="str">
        <f t="shared" si="86"/>
        <v/>
      </c>
      <c r="BO101" s="388">
        <f>IF($AW101=BO$3,COUNTIF($AW$8:$AW101,BO$3),0)</f>
        <v>0</v>
      </c>
      <c r="BP101" s="416" t="str">
        <f t="shared" si="87"/>
        <v/>
      </c>
      <c r="BQ101" s="381"/>
      <c r="BR101" s="381"/>
    </row>
    <row r="102" spans="1:70" ht="15" customHeight="1">
      <c r="A102" s="1008" t="s">
        <v>664</v>
      </c>
      <c r="B102" s="2206" t="s">
        <v>665</v>
      </c>
      <c r="C102" s="2207"/>
      <c r="D102" s="2336" t="str">
        <f>IF(R38=1,"調理員（下限："&amp;IF(AL2,AL3&amp;"時間","なし")&amp;"）","")</f>
        <v/>
      </c>
      <c r="E102" s="2336"/>
      <c r="F102" s="2336"/>
      <c r="G102" s="2336"/>
      <c r="H102" s="2336"/>
      <c r="I102" s="2337"/>
      <c r="J102" s="2337"/>
      <c r="K102" s="2337"/>
      <c r="L102" s="776">
        <f>IF(W38,M38,0)</f>
        <v>0</v>
      </c>
      <c r="M102" s="2524"/>
      <c r="N102" s="2510"/>
      <c r="O102" s="2513"/>
      <c r="P102" s="427"/>
      <c r="Q102" s="427"/>
      <c r="R102" s="426"/>
      <c r="S102" s="426"/>
      <c r="T102" s="426"/>
      <c r="U102" s="426"/>
      <c r="V102" s="426"/>
      <c r="W102" s="426"/>
      <c r="X102" s="426"/>
      <c r="Y102" s="426"/>
      <c r="Z102" s="426"/>
      <c r="AA102" s="426"/>
      <c r="AB102" s="426"/>
      <c r="AC102" s="426"/>
      <c r="AD102" s="426"/>
      <c r="AE102" s="426"/>
      <c r="AF102" s="426"/>
      <c r="AG102" s="426"/>
      <c r="AH102" s="426"/>
      <c r="AI102" s="426"/>
      <c r="AJ102" s="426"/>
      <c r="AK102" s="386"/>
      <c r="AO102" s="234"/>
      <c r="AP102" s="234"/>
      <c r="AQ102" s="234"/>
      <c r="AR102" s="234"/>
      <c r="AS102" s="234"/>
      <c r="AT102" s="388">
        <f t="shared" si="78"/>
        <v>95</v>
      </c>
      <c r="AU102" s="1081" t="str">
        <f>AT102&amp;" "&amp;IF(AW102&lt;&gt;"-",【様式2】職員名簿!B134&amp;"/"&amp;AV102&amp;"/"&amp;AW102,"")</f>
        <v xml:space="preserve">95 </v>
      </c>
      <c r="AV102" s="1081">
        <f>【様式2】職員名簿!E134</f>
        <v>0</v>
      </c>
      <c r="AW102" s="1081" t="str">
        <f>IF(【様式2】職員名簿!J134="エラー","-",IF(AND(【様式2】職員名簿!C134=$AW$3,【様式2】職員名簿!J134=$AW$4),$AW$3,【様式2】職員名簿!J134))</f>
        <v>-</v>
      </c>
      <c r="AX102" s="392">
        <f>IF($AV102="常勤",$AM$2,IF($AV102="非常勤",【様式2】職員名簿!G134,0))</f>
        <v>0</v>
      </c>
      <c r="AY102" s="415">
        <f>IF($AW102=AY$3,COUNTIF($AW$8:$AW102,AY$3),0)</f>
        <v>0</v>
      </c>
      <c r="AZ102" s="416" t="str">
        <f t="shared" si="79"/>
        <v/>
      </c>
      <c r="BA102" s="388">
        <f>IF(OR($AW102=BA$3,$AW102=BA$4),COUNTIF($AW$8:$AW102,BA$3)+COUNTIF($AW$8:$AW102,BA$4),0)</f>
        <v>0</v>
      </c>
      <c r="BB102" s="416" t="str">
        <f t="shared" si="80"/>
        <v/>
      </c>
      <c r="BC102" s="418">
        <f>IF($AW102=BC$3,COUNTIF($AW$8:$AW102,BC$3),0)</f>
        <v>0</v>
      </c>
      <c r="BD102" s="416" t="str">
        <f t="shared" si="81"/>
        <v/>
      </c>
      <c r="BE102" s="388">
        <f>IF(OR($AW102=BE$3,$AW102=BE$4),COUNTIF($AW$8:$AW102,BE$3)+COUNTIF($AW$8:$AW102,BE$4),0)</f>
        <v>0</v>
      </c>
      <c r="BF102" s="416" t="str">
        <f t="shared" si="82"/>
        <v/>
      </c>
      <c r="BG102" s="388">
        <f>IF($AW102=BG$4,COUNTIFS($AV$8:$AV102,BG$3,$AW$8:$AW102,BG$4),0)</f>
        <v>0</v>
      </c>
      <c r="BH102" s="416" t="str">
        <f t="shared" si="83"/>
        <v/>
      </c>
      <c r="BI102" s="388">
        <f>IF($AW102=BI$3,COUNTIF($AW$8:$AW102,BI$3),0)</f>
        <v>0</v>
      </c>
      <c r="BJ102" s="416" t="str">
        <f t="shared" si="84"/>
        <v/>
      </c>
      <c r="BK102" s="388">
        <f>IF($AW102=BK$3,COUNTIF($AW$8:$AW102,BK$3),0)</f>
        <v>0</v>
      </c>
      <c r="BL102" s="416" t="str">
        <f t="shared" si="85"/>
        <v/>
      </c>
      <c r="BM102" s="388">
        <f>IF($AW102&lt;&gt;BM$3,COUNTIF($AW$8:$AW102,"&lt;&gt;"&amp;BM$3),0)</f>
        <v>0</v>
      </c>
      <c r="BN102" s="416" t="str">
        <f t="shared" si="86"/>
        <v/>
      </c>
      <c r="BO102" s="388">
        <f>IF($AW102=BO$3,COUNTIF($AW$8:$AW102,BO$3),0)</f>
        <v>0</v>
      </c>
      <c r="BP102" s="416" t="str">
        <f t="shared" si="87"/>
        <v/>
      </c>
      <c r="BQ102" s="381"/>
      <c r="BR102" s="381"/>
    </row>
    <row r="103" spans="1:70" ht="15" customHeight="1">
      <c r="A103" s="2163" t="s">
        <v>668</v>
      </c>
      <c r="B103" s="2501" t="s">
        <v>769</v>
      </c>
      <c r="C103" s="2502"/>
      <c r="D103" s="2503" t="str">
        <f>F17</f>
        <v>エラー：個票0を見直すこと</v>
      </c>
      <c r="E103" s="1382"/>
      <c r="F103" s="1382"/>
      <c r="G103" s="1382"/>
      <c r="H103" s="1382"/>
      <c r="I103" s="1382"/>
      <c r="J103" s="1382"/>
      <c r="K103" s="2504"/>
      <c r="L103" s="777">
        <f>IF(R17=1,SUM(M18:M19),IF(R17=2,M20,0))</f>
        <v>0</v>
      </c>
      <c r="M103" s="2505">
        <f>SUM(L103:L105)</f>
        <v>0</v>
      </c>
      <c r="N103" s="2508">
        <f>H80</f>
        <v>0</v>
      </c>
      <c r="O103" s="2511">
        <f>N103-M103</f>
        <v>0</v>
      </c>
      <c r="P103" s="427"/>
      <c r="Q103" s="427"/>
      <c r="R103" s="428"/>
      <c r="S103" s="428"/>
      <c r="T103" s="428"/>
      <c r="U103" s="428"/>
      <c r="V103" s="428"/>
      <c r="W103" s="428"/>
      <c r="X103" s="428"/>
      <c r="Y103" s="428"/>
      <c r="Z103" s="428"/>
      <c r="AA103" s="428"/>
      <c r="AB103" s="428"/>
      <c r="AC103" s="428"/>
      <c r="AD103" s="428"/>
      <c r="AE103" s="428"/>
      <c r="AF103" s="428"/>
      <c r="AG103" s="428"/>
      <c r="AH103" s="428"/>
      <c r="AI103" s="428"/>
      <c r="AJ103" s="428"/>
      <c r="AK103" s="386"/>
      <c r="AO103" s="234"/>
      <c r="AP103" s="234"/>
      <c r="AQ103" s="234"/>
      <c r="AR103" s="234"/>
      <c r="AS103" s="234"/>
      <c r="AT103" s="388">
        <f t="shared" si="78"/>
        <v>96</v>
      </c>
      <c r="AU103" s="1081" t="str">
        <f>AT103&amp;" "&amp;IF(AW103&lt;&gt;"-",【様式2】職員名簿!B135&amp;"/"&amp;AV103&amp;"/"&amp;AW103,"")</f>
        <v xml:space="preserve">96 </v>
      </c>
      <c r="AV103" s="1081">
        <f>【様式2】職員名簿!E135</f>
        <v>0</v>
      </c>
      <c r="AW103" s="1081" t="str">
        <f>IF(【様式2】職員名簿!J135="エラー","-",IF(AND(【様式2】職員名簿!C135=$AW$3,【様式2】職員名簿!J135=$AW$4),$AW$3,【様式2】職員名簿!J135))</f>
        <v>-</v>
      </c>
      <c r="AX103" s="392">
        <f>IF($AV103="常勤",$AM$2,IF($AV103="非常勤",【様式2】職員名簿!G135,0))</f>
        <v>0</v>
      </c>
      <c r="AY103" s="415">
        <f>IF($AW103=AY$3,COUNTIF($AW$8:$AW103,AY$3),0)</f>
        <v>0</v>
      </c>
      <c r="AZ103" s="416" t="str">
        <f t="shared" si="79"/>
        <v/>
      </c>
      <c r="BA103" s="388">
        <f>IF(OR($AW103=BA$3,$AW103=BA$4),COUNTIF($AW$8:$AW103,BA$3)+COUNTIF($AW$8:$AW103,BA$4),0)</f>
        <v>0</v>
      </c>
      <c r="BB103" s="416" t="str">
        <f t="shared" si="80"/>
        <v/>
      </c>
      <c r="BC103" s="418">
        <f>IF($AW103=BC$3,COUNTIF($AW$8:$AW103,BC$3),0)</f>
        <v>0</v>
      </c>
      <c r="BD103" s="416" t="str">
        <f t="shared" si="81"/>
        <v/>
      </c>
      <c r="BE103" s="388">
        <f>IF(OR($AW103=BE$3,$AW103=BE$4),COUNTIF($AW$8:$AW103,BE$3)+COUNTIF($AW$8:$AW103,BE$4),0)</f>
        <v>0</v>
      </c>
      <c r="BF103" s="416" t="str">
        <f t="shared" si="82"/>
        <v/>
      </c>
      <c r="BG103" s="388">
        <f>IF($AW103=BG$4,COUNTIFS($AV$8:$AV103,BG$3,$AW$8:$AW103,BG$4),0)</f>
        <v>0</v>
      </c>
      <c r="BH103" s="416" t="str">
        <f t="shared" si="83"/>
        <v/>
      </c>
      <c r="BI103" s="388">
        <f>IF($AW103=BI$3,COUNTIF($AW$8:$AW103,BI$3),0)</f>
        <v>0</v>
      </c>
      <c r="BJ103" s="416" t="str">
        <f t="shared" si="84"/>
        <v/>
      </c>
      <c r="BK103" s="388">
        <f>IF($AW103=BK$3,COUNTIF($AW$8:$AW103,BK$3),0)</f>
        <v>0</v>
      </c>
      <c r="BL103" s="416" t="str">
        <f t="shared" si="85"/>
        <v/>
      </c>
      <c r="BM103" s="388">
        <f>IF($AW103&lt;&gt;BM$3,COUNTIF($AW$8:$AW103,"&lt;&gt;"&amp;BM$3),0)</f>
        <v>0</v>
      </c>
      <c r="BN103" s="416" t="str">
        <f t="shared" si="86"/>
        <v/>
      </c>
      <c r="BO103" s="388">
        <f>IF($AW103=BO$3,COUNTIF($AW$8:$AW103,BO$3),0)</f>
        <v>0</v>
      </c>
      <c r="BP103" s="416" t="str">
        <f t="shared" si="87"/>
        <v/>
      </c>
      <c r="BQ103" s="381"/>
      <c r="BR103" s="381"/>
    </row>
    <row r="104" spans="1:70" ht="15" customHeight="1">
      <c r="A104" s="2164"/>
      <c r="B104" s="2222" t="s">
        <v>669</v>
      </c>
      <c r="C104" s="2223"/>
      <c r="D104" s="2333" t="str">
        <f>IF(N40="○","事務員（下限："&amp;IF(AL2,AL3&amp;"時間","なし")&amp;"）","")</f>
        <v/>
      </c>
      <c r="E104" s="2333"/>
      <c r="F104" s="2333"/>
      <c r="G104" s="2333"/>
      <c r="H104" s="2333"/>
      <c r="I104" s="2334"/>
      <c r="J104" s="2334"/>
      <c r="K104" s="2334"/>
      <c r="L104" s="778">
        <f>IF(W40,M40,0)</f>
        <v>0</v>
      </c>
      <c r="M104" s="2506"/>
      <c r="N104" s="2509"/>
      <c r="O104" s="2512"/>
      <c r="P104" s="427"/>
      <c r="Q104" s="427"/>
      <c r="R104" s="428"/>
      <c r="S104" s="428"/>
      <c r="T104" s="428"/>
      <c r="U104" s="428"/>
      <c r="V104" s="428"/>
      <c r="W104" s="428"/>
      <c r="X104" s="428"/>
      <c r="Y104" s="428"/>
      <c r="Z104" s="428"/>
      <c r="AA104" s="428"/>
      <c r="AB104" s="428"/>
      <c r="AC104" s="428"/>
      <c r="AD104" s="428"/>
      <c r="AE104" s="428"/>
      <c r="AF104" s="428"/>
      <c r="AG104" s="428"/>
      <c r="AH104" s="428"/>
      <c r="AI104" s="428"/>
      <c r="AJ104" s="428"/>
      <c r="AK104" s="386"/>
      <c r="AO104" s="234"/>
      <c r="AP104" s="234"/>
      <c r="AQ104" s="234"/>
      <c r="AR104" s="234"/>
      <c r="AS104" s="234"/>
      <c r="AT104" s="388">
        <f t="shared" si="78"/>
        <v>97</v>
      </c>
      <c r="AU104" s="1081" t="str">
        <f>AT104&amp;" "&amp;IF(AW104&lt;&gt;"-",【様式2】職員名簿!B136&amp;"/"&amp;AV104&amp;"/"&amp;AW104,"")</f>
        <v xml:space="preserve">97 </v>
      </c>
      <c r="AV104" s="1081">
        <f>【様式2】職員名簿!E136</f>
        <v>0</v>
      </c>
      <c r="AW104" s="1081" t="str">
        <f>IF(【様式2】職員名簿!J136="エラー","-",IF(AND(【様式2】職員名簿!C136=$AW$3,【様式2】職員名簿!J136=$AW$4),$AW$3,【様式2】職員名簿!J136))</f>
        <v>-</v>
      </c>
      <c r="AX104" s="392">
        <f>IF($AV104="常勤",$AM$2,IF($AV104="非常勤",【様式2】職員名簿!G136,0))</f>
        <v>0</v>
      </c>
      <c r="AY104" s="415">
        <f>IF($AW104=AY$3,COUNTIF($AW$8:$AW104,AY$3),0)</f>
        <v>0</v>
      </c>
      <c r="AZ104" s="416" t="str">
        <f t="shared" ref="AZ104" si="92">IFERROR(INDEX($AU$8:$AU$107,MATCH($AT104,AY$8:AY$107,0),1),"")</f>
        <v/>
      </c>
      <c r="BA104" s="388">
        <f>IF(OR($AW104=BA$3,$AW104=BA$4),COUNTIF($AW$8:$AW104,BA$3)+COUNTIF($AW$8:$AW104,BA$4),0)</f>
        <v>0</v>
      </c>
      <c r="BB104" s="416" t="str">
        <f t="shared" ref="BB104" si="93">IFERROR(INDEX($AU$8:$AU$107,MATCH($AT104,BA$8:BA$107,0),1),"")</f>
        <v/>
      </c>
      <c r="BC104" s="418">
        <f>IF($AW104=BC$3,COUNTIF($AW$8:$AW104,BC$3),0)</f>
        <v>0</v>
      </c>
      <c r="BD104" s="416" t="str">
        <f t="shared" ref="BD104" si="94">IFERROR(INDEX($AU$8:$AU$107,MATCH($AT104,BC$8:BC$107,0),1),"")</f>
        <v/>
      </c>
      <c r="BE104" s="388">
        <f>IF(OR($AW104=BE$3,$AW104=BE$4),COUNTIF($AW$8:$AW104,BE$3)+COUNTIF($AW$8:$AW104,BE$4),0)</f>
        <v>0</v>
      </c>
      <c r="BF104" s="416" t="str">
        <f t="shared" ref="BF104" si="95">IFERROR(INDEX($AU$8:$AU$107,MATCH($AT104,BE$8:BE$107,0),1),"")</f>
        <v/>
      </c>
      <c r="BG104" s="388">
        <f>IF($AW104=BG$4,COUNTIFS($AV$8:$AV104,BG$3,$AW$8:$AW104,BG$4),0)</f>
        <v>0</v>
      </c>
      <c r="BH104" s="416" t="str">
        <f t="shared" ref="BH104" si="96">IFERROR(INDEX($AU$8:$AU$107,MATCH($AT104,BG$8:BG$107,0),1),"")</f>
        <v/>
      </c>
      <c r="BI104" s="388">
        <f>IF($AW104=BI$3,COUNTIF($AW$8:$AW104,BI$3),0)</f>
        <v>0</v>
      </c>
      <c r="BJ104" s="416" t="str">
        <f t="shared" ref="BJ104" si="97">IFERROR(INDEX($AU$8:$AU$107,MATCH($AT104,BI$8:BI$107,0),1),"")</f>
        <v/>
      </c>
      <c r="BK104" s="388">
        <f>IF($AW104=BK$3,COUNTIF($AW$8:$AW104,BK$3),0)</f>
        <v>0</v>
      </c>
      <c r="BL104" s="416" t="str">
        <f t="shared" ref="BL104" si="98">IFERROR(INDEX($AU$8:$AU$107,MATCH($AT104,BK$8:BK$107,0),1),"")</f>
        <v/>
      </c>
      <c r="BM104" s="388">
        <f>IF($AW104&lt;&gt;BM$3,COUNTIF($AW$8:$AW104,"&lt;&gt;"&amp;BM$3),0)</f>
        <v>0</v>
      </c>
      <c r="BN104" s="416" t="str">
        <f t="shared" ref="BN104" si="99">IFERROR(INDEX($AU$8:$AU$107,MATCH($AT104,BM$8:BM$107,0),1),"")</f>
        <v/>
      </c>
      <c r="BO104" s="388">
        <f>IF($AW104=BO$3,COUNTIF($AW$8:$AW104,BO$3),0)</f>
        <v>0</v>
      </c>
      <c r="BP104" s="416" t="str">
        <f t="shared" ref="BP104" si="100">IFERROR(INDEX($AU$8:$AU$107,MATCH($AT104,BO$8:BO$107,0),1),"")</f>
        <v/>
      </c>
      <c r="BQ104" s="381"/>
      <c r="BR104" s="381"/>
    </row>
    <row r="105" spans="1:70" ht="15" customHeight="1">
      <c r="A105" s="2165"/>
      <c r="B105" s="2208" t="s">
        <v>670</v>
      </c>
      <c r="C105" s="2209"/>
      <c r="D105" s="1694" t="str">
        <f>IF(N41="○","事務員（下限："&amp;IF(AL2,AL3&amp;"時間","なし")&amp;"）","")</f>
        <v/>
      </c>
      <c r="E105" s="1694"/>
      <c r="F105" s="1694"/>
      <c r="G105" s="1694"/>
      <c r="H105" s="1694"/>
      <c r="I105" s="2335"/>
      <c r="J105" s="2335"/>
      <c r="K105" s="2335"/>
      <c r="L105" s="779">
        <f>IF(W41,M41,0)</f>
        <v>0</v>
      </c>
      <c r="M105" s="2507"/>
      <c r="N105" s="2510"/>
      <c r="O105" s="2513"/>
      <c r="P105" s="427"/>
      <c r="Q105" s="235"/>
      <c r="R105" s="235"/>
      <c r="S105" s="235"/>
      <c r="T105" s="235"/>
      <c r="U105" s="235"/>
      <c r="V105" s="235"/>
      <c r="W105" s="235"/>
      <c r="X105" s="235"/>
      <c r="Y105" s="233"/>
      <c r="Z105" s="233"/>
      <c r="AA105" s="233"/>
      <c r="AB105" s="233"/>
      <c r="AC105" s="235"/>
      <c r="AD105" s="235"/>
      <c r="AE105" s="235"/>
      <c r="AF105" s="233"/>
      <c r="AG105" s="233"/>
      <c r="AH105" s="233"/>
      <c r="AI105" s="233"/>
      <c r="AJ105" s="233"/>
      <c r="AK105" s="386"/>
      <c r="AO105" s="234"/>
      <c r="AP105" s="234"/>
      <c r="AQ105" s="234"/>
      <c r="AR105" s="234"/>
      <c r="AS105" s="234"/>
      <c r="AT105" s="388">
        <f t="shared" si="78"/>
        <v>98</v>
      </c>
      <c r="AU105" s="1088" t="str">
        <f>AT105&amp;" "&amp;IF(AW105&lt;&gt;"-",【様式2】職員名簿!B137&amp;"/"&amp;AV105&amp;"/"&amp;AW105,"")</f>
        <v xml:space="preserve">98 </v>
      </c>
      <c r="AV105" s="1088">
        <f>【様式2】職員名簿!E137</f>
        <v>0</v>
      </c>
      <c r="AW105" s="1088" t="str">
        <f>IF(【様式2】職員名簿!J137="エラー","-",IF(AND(【様式2】職員名簿!C137=$AW$3,【様式2】職員名簿!J137=$AW$4),$AW$3,【様式2】職員名簿!J137))</f>
        <v>-</v>
      </c>
      <c r="AX105" s="392">
        <f>IF($AV105="常勤",$AM$2,IF($AV105="非常勤",【様式2】職員名簿!G137,0))</f>
        <v>0</v>
      </c>
      <c r="AY105" s="415">
        <f>IF($AW105=AY$3,COUNTIF($AW$8:$AW105,AY$3),0)</f>
        <v>0</v>
      </c>
      <c r="AZ105" s="1094" t="str">
        <f t="shared" ref="AZ105:AZ107" si="101">IFERROR(INDEX($AU$8:$AU$107,MATCH($AT105,AY$8:AY$107,0),1),"")</f>
        <v/>
      </c>
      <c r="BA105" s="388">
        <f>IF(OR($AW105=BA$3,$AW105=BA$4),COUNTIF($AW$8:$AW105,BA$3)+COUNTIF($AW$8:$AW105,BA$4),0)</f>
        <v>0</v>
      </c>
      <c r="BB105" s="1094" t="str">
        <f t="shared" ref="BB105:BB107" si="102">IFERROR(INDEX($AU$8:$AU$107,MATCH($AT105,BA$8:BA$107,0),1),"")</f>
        <v/>
      </c>
      <c r="BC105" s="418">
        <f>IF($AW105=BC$3,COUNTIF($AW$8:$AW105,BC$3),0)</f>
        <v>0</v>
      </c>
      <c r="BD105" s="1094" t="str">
        <f t="shared" ref="BD105:BD107" si="103">IFERROR(INDEX($AU$8:$AU$107,MATCH($AT105,BC$8:BC$107,0),1),"")</f>
        <v/>
      </c>
      <c r="BE105" s="388">
        <f>IF(OR($AW105=BE$3,$AW105=BE$4),COUNTIF($AW$8:$AW105,BE$3)+COUNTIF($AW$8:$AW105,BE$4),0)</f>
        <v>0</v>
      </c>
      <c r="BF105" s="1094" t="str">
        <f t="shared" ref="BF105:BF107" si="104">IFERROR(INDEX($AU$8:$AU$107,MATCH($AT105,BE$8:BE$107,0),1),"")</f>
        <v/>
      </c>
      <c r="BG105" s="388">
        <f>IF($AW105=BG$4,COUNTIFS($AV$8:$AV105,BG$3,$AW$8:$AW105,BG$4),0)</f>
        <v>0</v>
      </c>
      <c r="BH105" s="1094" t="str">
        <f t="shared" ref="BH105:BH107" si="105">IFERROR(INDEX($AU$8:$AU$107,MATCH($AT105,BG$8:BG$107,0),1),"")</f>
        <v/>
      </c>
      <c r="BI105" s="388">
        <f>IF($AW105=BI$3,COUNTIF($AW$8:$AW105,BI$3),0)</f>
        <v>0</v>
      </c>
      <c r="BJ105" s="1094" t="str">
        <f t="shared" ref="BJ105:BJ107" si="106">IFERROR(INDEX($AU$8:$AU$107,MATCH($AT105,BI$8:BI$107,0),1),"")</f>
        <v/>
      </c>
      <c r="BK105" s="388">
        <f>IF($AW105=BK$3,COUNTIF($AW$8:$AW105,BK$3),0)</f>
        <v>0</v>
      </c>
      <c r="BL105" s="1094" t="str">
        <f t="shared" ref="BL105:BL107" si="107">IFERROR(INDEX($AU$8:$AU$107,MATCH($AT105,BK$8:BK$107,0),1),"")</f>
        <v/>
      </c>
      <c r="BM105" s="388">
        <f>IF($AW105&lt;&gt;BM$3,COUNTIF($AW$8:$AW105,"&lt;&gt;"&amp;BM$3),0)</f>
        <v>0</v>
      </c>
      <c r="BN105" s="1094" t="str">
        <f t="shared" ref="BN105:BN107" si="108">IFERROR(INDEX($AU$8:$AU$107,MATCH($AT105,BM$8:BM$107,0),1),"")</f>
        <v/>
      </c>
      <c r="BO105" s="388">
        <f>IF($AW105=BO$3,COUNTIF($AW$8:$AW105,BO$3),0)</f>
        <v>0</v>
      </c>
      <c r="BP105" s="1094" t="str">
        <f t="shared" ref="BP105:BP107" si="109">IFERROR(INDEX($AU$8:$AU$107,MATCH($AT105,BO$8:BO$107,0),1),"")</f>
        <v/>
      </c>
      <c r="BQ105" s="386"/>
      <c r="BR105" s="386"/>
    </row>
    <row r="106" spans="1:70" ht="12">
      <c r="A106" s="1008" t="s">
        <v>700</v>
      </c>
      <c r="B106" s="2206" t="s">
        <v>770</v>
      </c>
      <c r="C106" s="2207"/>
      <c r="D106" s="1509" t="str">
        <f>IF(R22=2,"嘱託のため配置不要","学校医等")</f>
        <v>学校医等</v>
      </c>
      <c r="E106" s="1411"/>
      <c r="F106" s="1411"/>
      <c r="G106" s="1411"/>
      <c r="H106" s="1411"/>
      <c r="I106" s="1411"/>
      <c r="J106" s="1411"/>
      <c r="K106" s="1411"/>
      <c r="L106" s="780">
        <f>IF(W22,M22,0)</f>
        <v>0</v>
      </c>
      <c r="M106" s="661">
        <f>L106</f>
        <v>0</v>
      </c>
      <c r="N106" s="659">
        <f>H81</f>
        <v>0</v>
      </c>
      <c r="O106" s="660">
        <f>N106-M106</f>
        <v>0</v>
      </c>
      <c r="P106" s="235"/>
      <c r="AK106" s="386"/>
      <c r="AO106" s="234"/>
      <c r="AP106" s="234"/>
      <c r="AQ106" s="234"/>
      <c r="AR106" s="234"/>
      <c r="AS106" s="234"/>
      <c r="AT106" s="388">
        <f t="shared" si="78"/>
        <v>99</v>
      </c>
      <c r="AU106" s="1088" t="str">
        <f>AT106&amp;" "&amp;IF(AW106&lt;&gt;"-",【様式2】職員名簿!B138&amp;"/"&amp;AV106&amp;"/"&amp;AW106,"")</f>
        <v xml:space="preserve">99 </v>
      </c>
      <c r="AV106" s="1088">
        <f>【様式2】職員名簿!E138</f>
        <v>0</v>
      </c>
      <c r="AW106" s="1088" t="str">
        <f>IF(【様式2】職員名簿!J138="エラー","-",IF(AND(【様式2】職員名簿!C138=$AW$3,【様式2】職員名簿!J138=$AW$4),$AW$3,【様式2】職員名簿!J138))</f>
        <v>-</v>
      </c>
      <c r="AX106" s="392">
        <f>IF($AV106="常勤",$AM$2,IF($AV106="非常勤",【様式2】職員名簿!G138,0))</f>
        <v>0</v>
      </c>
      <c r="AY106" s="415">
        <f>IF($AW106=AY$3,COUNTIF($AW$8:$AW106,AY$3),0)</f>
        <v>0</v>
      </c>
      <c r="AZ106" s="1094" t="str">
        <f t="shared" si="101"/>
        <v/>
      </c>
      <c r="BA106" s="388">
        <f>IF(OR($AW106=BA$3,$AW106=BA$4),COUNTIF($AW$8:$AW106,BA$3)+COUNTIF($AW$8:$AW106,BA$4),0)</f>
        <v>0</v>
      </c>
      <c r="BB106" s="1094" t="str">
        <f t="shared" si="102"/>
        <v/>
      </c>
      <c r="BC106" s="418">
        <f>IF($AW106=BC$3,COUNTIF($AW$8:$AW106,BC$3),0)</f>
        <v>0</v>
      </c>
      <c r="BD106" s="1094" t="str">
        <f t="shared" si="103"/>
        <v/>
      </c>
      <c r="BE106" s="388">
        <f>IF(OR($AW106=BE$3,$AW106=BE$4),COUNTIF($AW$8:$AW106,BE$3)+COUNTIF($AW$8:$AW106,BE$4),0)</f>
        <v>0</v>
      </c>
      <c r="BF106" s="1094" t="str">
        <f t="shared" si="104"/>
        <v/>
      </c>
      <c r="BG106" s="388">
        <f>IF($AW106=BG$4,COUNTIFS($AV$8:$AV106,BG$3,$AW$8:$AW106,BG$4),0)</f>
        <v>0</v>
      </c>
      <c r="BH106" s="1094" t="str">
        <f t="shared" si="105"/>
        <v/>
      </c>
      <c r="BI106" s="388">
        <f>IF($AW106=BI$3,COUNTIF($AW$8:$AW106,BI$3),0)</f>
        <v>0</v>
      </c>
      <c r="BJ106" s="1094" t="str">
        <f t="shared" si="106"/>
        <v/>
      </c>
      <c r="BK106" s="388">
        <f>IF($AW106=BK$3,COUNTIF($AW$8:$AW106,BK$3),0)</f>
        <v>0</v>
      </c>
      <c r="BL106" s="1094" t="str">
        <f t="shared" si="107"/>
        <v/>
      </c>
      <c r="BM106" s="388">
        <f>IF($AW106&lt;&gt;BM$3,COUNTIF($AW$8:$AW106,"&lt;&gt;"&amp;BM$3),0)</f>
        <v>0</v>
      </c>
      <c r="BN106" s="1094" t="str">
        <f t="shared" si="108"/>
        <v/>
      </c>
      <c r="BO106" s="388">
        <f>IF($AW106=BO$3,COUNTIF($AW$8:$AW106,BO$3),0)</f>
        <v>0</v>
      </c>
      <c r="BP106" s="1094" t="str">
        <f t="shared" si="109"/>
        <v/>
      </c>
      <c r="BQ106" s="386"/>
      <c r="BR106" s="386"/>
    </row>
    <row r="107" spans="1:70" ht="12.75" thickBot="1">
      <c r="A107" s="991" t="s">
        <v>701</v>
      </c>
      <c r="B107" s="2208" t="s">
        <v>701</v>
      </c>
      <c r="C107" s="2209"/>
      <c r="D107" s="1509" t="s">
        <v>738</v>
      </c>
      <c r="E107" s="1411"/>
      <c r="F107" s="1411"/>
      <c r="G107" s="1411"/>
      <c r="H107" s="1411"/>
      <c r="I107" s="1411"/>
      <c r="J107" s="1411"/>
      <c r="K107" s="1411"/>
      <c r="L107" s="780" t="s">
        <v>736</v>
      </c>
      <c r="M107" s="662" t="s">
        <v>737</v>
      </c>
      <c r="N107" s="663">
        <f>H82+H77</f>
        <v>0</v>
      </c>
      <c r="O107" s="660">
        <f>N107</f>
        <v>0</v>
      </c>
      <c r="Y107" s="386"/>
      <c r="Z107" s="386"/>
      <c r="AA107" s="386"/>
      <c r="AB107" s="386"/>
      <c r="AF107" s="386"/>
      <c r="AG107" s="386"/>
      <c r="AH107" s="386"/>
      <c r="AI107" s="386"/>
      <c r="AJ107" s="386"/>
      <c r="AK107" s="386"/>
      <c r="AO107" s="234"/>
      <c r="AP107" s="234"/>
      <c r="AQ107" s="234"/>
      <c r="AR107" s="234"/>
      <c r="AS107" s="234"/>
      <c r="AT107" s="388">
        <f t="shared" si="78"/>
        <v>100</v>
      </c>
      <c r="AU107" s="1081" t="str">
        <f>AT107&amp;" "&amp;IF(AW107&lt;&gt;"-",【様式2】職員名簿!B139&amp;"/"&amp;AV107&amp;"/"&amp;AW107,"")</f>
        <v xml:space="preserve">100 </v>
      </c>
      <c r="AV107" s="1081">
        <f>【様式2】職員名簿!E139</f>
        <v>0</v>
      </c>
      <c r="AW107" s="1081" t="str">
        <f>IF(【様式2】職員名簿!J139="エラー","-",IF(AND(【様式2】職員名簿!C139=$AW$3,【様式2】職員名簿!J139=$AW$4),$AW$3,【様式2】職員名簿!J139))</f>
        <v>-</v>
      </c>
      <c r="AX107" s="392">
        <f>IF($AV107="常勤",$AM$2,IF($AV107="非常勤",【様式2】職員名簿!G139,0))</f>
        <v>0</v>
      </c>
      <c r="AY107" s="415">
        <f>IF($AW107=AY$3,COUNTIF($AW$8:$AW107,AY$3),0)</f>
        <v>0</v>
      </c>
      <c r="AZ107" s="429" t="str">
        <f t="shared" si="101"/>
        <v/>
      </c>
      <c r="BA107" s="388">
        <f>IF(OR($AW107=BA$3,$AW107=BA$4),COUNTIF($AW$8:$AW107,BA$3)+COUNTIF($AW$8:$AW107,BA$4),0)</f>
        <v>0</v>
      </c>
      <c r="BB107" s="429" t="str">
        <f t="shared" si="102"/>
        <v/>
      </c>
      <c r="BC107" s="418">
        <f>IF($AW107=BC$3,COUNTIF($AW$8:$AW107,BC$3),0)</f>
        <v>0</v>
      </c>
      <c r="BD107" s="429" t="str">
        <f t="shared" si="103"/>
        <v/>
      </c>
      <c r="BE107" s="388">
        <f>IF(OR($AW107=BE$3,$AW107=BE$4),COUNTIF($AW$8:$AW107,BE$3)+COUNTIF($AW$8:$AW107,BE$4),0)</f>
        <v>0</v>
      </c>
      <c r="BF107" s="429" t="str">
        <f t="shared" si="104"/>
        <v/>
      </c>
      <c r="BG107" s="388">
        <f>IF($AW107=BG$4,COUNTIFS($AV$8:$AV107,BG$3,$AW$8:$AW107,BG$4),0)</f>
        <v>0</v>
      </c>
      <c r="BH107" s="429" t="str">
        <f t="shared" si="105"/>
        <v/>
      </c>
      <c r="BI107" s="388">
        <f>IF($AW107=BI$3,COUNTIF($AW$8:$AW107,BI$3),0)</f>
        <v>0</v>
      </c>
      <c r="BJ107" s="429" t="str">
        <f t="shared" si="106"/>
        <v/>
      </c>
      <c r="BK107" s="388">
        <f>IF($AW107=BK$3,COUNTIF($AW$8:$AW107,BK$3),0)</f>
        <v>0</v>
      </c>
      <c r="BL107" s="429" t="str">
        <f t="shared" si="107"/>
        <v/>
      </c>
      <c r="BM107" s="388">
        <f>IF($AW107&lt;&gt;BM$3,COUNTIF($AW$8:$AW107,"&lt;&gt;"&amp;BM$3),0)</f>
        <v>0</v>
      </c>
      <c r="BN107" s="429" t="str">
        <f t="shared" si="108"/>
        <v/>
      </c>
      <c r="BO107" s="388">
        <f>IF($AW107=BO$3,COUNTIF($AW$8:$AW107,BO$3),0)</f>
        <v>0</v>
      </c>
      <c r="BP107" s="429" t="str">
        <f t="shared" si="109"/>
        <v/>
      </c>
      <c r="BQ107" s="386"/>
      <c r="BR107" s="386"/>
    </row>
    <row r="108" spans="1:70" ht="14.25" thickTop="1">
      <c r="B108" s="321"/>
      <c r="C108" s="323"/>
      <c r="D108" s="322"/>
      <c r="E108" s="322"/>
      <c r="F108" s="322"/>
      <c r="G108" s="322"/>
      <c r="H108" s="322"/>
      <c r="I108" s="322"/>
      <c r="J108" s="322"/>
      <c r="K108" s="322"/>
      <c r="L108" s="324"/>
      <c r="M108" s="325"/>
      <c r="N108" s="325"/>
      <c r="O108" s="326"/>
      <c r="Q108" s="234"/>
      <c r="Y108" s="386"/>
      <c r="Z108" s="386"/>
      <c r="AA108" s="386"/>
      <c r="AB108" s="386"/>
      <c r="AF108" s="386"/>
      <c r="AG108" s="386"/>
      <c r="AH108" s="386"/>
      <c r="AI108" s="386"/>
      <c r="AJ108" s="386"/>
      <c r="AK108" s="386"/>
      <c r="AO108" s="234"/>
      <c r="AP108" s="234"/>
      <c r="AQ108" s="234"/>
      <c r="AR108" s="234"/>
      <c r="AS108" s="234"/>
      <c r="AT108" s="386"/>
      <c r="AU108" s="386"/>
      <c r="AV108" s="386"/>
      <c r="AW108" s="386"/>
      <c r="AX108" s="386"/>
      <c r="AY108" s="386"/>
      <c r="AZ108" s="386"/>
      <c r="BA108" s="386"/>
      <c r="BB108" s="386"/>
      <c r="BC108" s="386"/>
      <c r="BD108" s="386"/>
      <c r="BE108" s="386"/>
      <c r="BF108" s="386"/>
      <c r="BG108" s="386"/>
      <c r="BH108" s="386"/>
      <c r="BI108" s="386"/>
      <c r="BJ108" s="386"/>
      <c r="BK108" s="386"/>
      <c r="BL108" s="386"/>
      <c r="BM108" s="386"/>
      <c r="BN108" s="386"/>
      <c r="BQ108" s="386"/>
      <c r="BR108" s="386"/>
    </row>
    <row r="109" spans="1:70">
      <c r="B109" s="236" t="s">
        <v>159</v>
      </c>
      <c r="Q109" s="234"/>
      <c r="Y109" s="386"/>
      <c r="Z109" s="386"/>
      <c r="AA109" s="386"/>
      <c r="AB109" s="386"/>
      <c r="AF109" s="386"/>
      <c r="AG109" s="386"/>
      <c r="AH109" s="386"/>
      <c r="AI109" s="386"/>
      <c r="AJ109" s="386"/>
      <c r="AK109" s="386"/>
      <c r="AO109" s="234"/>
      <c r="AP109" s="234"/>
      <c r="AQ109" s="234"/>
      <c r="AR109" s="234"/>
      <c r="AS109" s="234"/>
      <c r="AT109" s="386"/>
      <c r="AU109" s="386"/>
      <c r="AV109" s="386"/>
      <c r="AW109" s="386"/>
      <c r="AX109" s="386"/>
      <c r="AY109" s="386"/>
      <c r="AZ109" s="386"/>
      <c r="BA109" s="386"/>
      <c r="BB109" s="386"/>
      <c r="BC109" s="386"/>
      <c r="BD109" s="386"/>
      <c r="BE109" s="386"/>
      <c r="BF109" s="386"/>
      <c r="BG109" s="386"/>
      <c r="BH109" s="386"/>
      <c r="BI109" s="386"/>
      <c r="BJ109" s="386"/>
      <c r="BK109" s="386"/>
      <c r="BL109" s="386"/>
      <c r="BM109" s="386"/>
      <c r="BN109" s="386"/>
      <c r="BQ109" s="386"/>
      <c r="BR109" s="386"/>
    </row>
    <row r="110" spans="1:70">
      <c r="B110" s="237"/>
      <c r="C110" s="238"/>
      <c r="D110" s="238"/>
      <c r="E110" s="238"/>
      <c r="F110" s="238"/>
      <c r="G110" s="238"/>
      <c r="H110" s="238"/>
      <c r="I110" s="238"/>
      <c r="J110" s="238"/>
      <c r="K110" s="239"/>
      <c r="L110" s="237"/>
      <c r="M110" s="238"/>
      <c r="N110" s="238"/>
      <c r="O110" s="239"/>
      <c r="Q110" s="234"/>
      <c r="Y110" s="386"/>
      <c r="Z110" s="386"/>
      <c r="AA110" s="386"/>
      <c r="AB110" s="386"/>
      <c r="AF110" s="386"/>
      <c r="AG110" s="386"/>
      <c r="AH110" s="386"/>
      <c r="AI110" s="386"/>
      <c r="AJ110" s="386"/>
      <c r="AK110" s="386"/>
      <c r="AO110" s="234"/>
      <c r="AP110" s="234"/>
      <c r="AQ110" s="234"/>
      <c r="AR110" s="234"/>
      <c r="AS110" s="234"/>
      <c r="AT110" s="386"/>
      <c r="AU110" s="386"/>
      <c r="AV110" s="386"/>
      <c r="AW110" s="386"/>
      <c r="AX110" s="386"/>
      <c r="AY110" s="386"/>
      <c r="AZ110" s="386"/>
      <c r="BA110" s="386"/>
      <c r="BB110" s="386"/>
      <c r="BC110" s="386"/>
      <c r="BD110" s="386"/>
      <c r="BE110" s="386"/>
      <c r="BF110" s="386"/>
      <c r="BG110" s="386"/>
      <c r="BH110" s="386"/>
      <c r="BI110" s="386"/>
      <c r="BJ110" s="386"/>
      <c r="BK110" s="386"/>
      <c r="BL110" s="386"/>
      <c r="BM110" s="386"/>
      <c r="BN110" s="386"/>
      <c r="BQ110" s="386"/>
      <c r="BR110" s="386"/>
    </row>
    <row r="111" spans="1:70">
      <c r="B111" s="149" t="s">
        <v>511</v>
      </c>
      <c r="C111" s="150"/>
      <c r="D111" s="150"/>
      <c r="E111" s="150"/>
      <c r="F111" s="150"/>
      <c r="G111" s="150"/>
      <c r="H111" s="150"/>
      <c r="I111" s="150"/>
      <c r="J111" s="150"/>
      <c r="K111" s="151"/>
      <c r="L111" s="149" t="s">
        <v>514</v>
      </c>
      <c r="M111" s="150"/>
      <c r="N111" s="150"/>
      <c r="O111" s="151"/>
      <c r="Q111" s="234"/>
      <c r="Y111" s="386"/>
      <c r="Z111" s="386"/>
      <c r="AA111" s="386"/>
      <c r="AB111" s="386"/>
      <c r="AF111" s="386"/>
      <c r="AG111" s="386"/>
      <c r="AH111" s="386"/>
      <c r="AI111" s="386"/>
      <c r="AJ111" s="386"/>
      <c r="AO111" s="234"/>
      <c r="AP111" s="234"/>
      <c r="AQ111" s="234"/>
      <c r="AR111" s="234"/>
      <c r="AS111" s="234"/>
      <c r="AT111" s="386"/>
      <c r="AU111" s="386"/>
      <c r="AV111" s="386"/>
      <c r="AW111" s="386"/>
      <c r="AX111" s="386"/>
      <c r="AY111" s="386"/>
      <c r="AZ111" s="386"/>
      <c r="BA111" s="386"/>
      <c r="BB111" s="386"/>
      <c r="BC111" s="386"/>
      <c r="BD111" s="386"/>
      <c r="BE111" s="386"/>
      <c r="BF111" s="386"/>
      <c r="BG111" s="386"/>
      <c r="BH111" s="386"/>
      <c r="BI111" s="386"/>
      <c r="BJ111" s="386"/>
      <c r="BK111" s="386"/>
      <c r="BL111" s="386"/>
      <c r="BM111" s="386"/>
      <c r="BN111" s="386"/>
      <c r="BQ111" s="386"/>
      <c r="BR111" s="386"/>
    </row>
    <row r="112" spans="1:70">
      <c r="B112" s="149" t="s">
        <v>512</v>
      </c>
      <c r="C112" s="150"/>
      <c r="D112" s="150"/>
      <c r="E112" s="150"/>
      <c r="F112" s="150"/>
      <c r="G112" s="150"/>
      <c r="H112" s="150"/>
      <c r="I112" s="150"/>
      <c r="J112" s="150"/>
      <c r="K112" s="151"/>
      <c r="L112" s="149"/>
      <c r="M112" s="150"/>
      <c r="N112" s="150"/>
      <c r="O112" s="151"/>
      <c r="Q112" s="234"/>
      <c r="Y112" s="386"/>
      <c r="Z112" s="386"/>
      <c r="AA112" s="386"/>
      <c r="AB112" s="386"/>
      <c r="AF112" s="386"/>
      <c r="AG112" s="386"/>
      <c r="AH112" s="386"/>
      <c r="AI112" s="386"/>
      <c r="AJ112" s="386"/>
      <c r="AO112" s="234"/>
      <c r="AP112" s="234"/>
      <c r="AQ112" s="234"/>
      <c r="AR112" s="234"/>
      <c r="AS112" s="234"/>
      <c r="AT112" s="386"/>
      <c r="AU112" s="386"/>
      <c r="AV112" s="386"/>
      <c r="AW112" s="386"/>
      <c r="AX112" s="386"/>
      <c r="AY112" s="386"/>
      <c r="AZ112" s="386"/>
      <c r="BA112" s="386"/>
      <c r="BB112" s="386"/>
      <c r="BC112" s="386"/>
      <c r="BD112" s="386"/>
      <c r="BE112" s="386"/>
      <c r="BF112" s="386"/>
      <c r="BG112" s="386"/>
      <c r="BH112" s="386"/>
      <c r="BI112" s="386"/>
      <c r="BJ112" s="386"/>
      <c r="BK112" s="386"/>
      <c r="BL112" s="386"/>
      <c r="BM112" s="386"/>
      <c r="BN112" s="386"/>
    </row>
    <row r="113" spans="1:66">
      <c r="B113" s="149" t="s">
        <v>26</v>
      </c>
      <c r="C113" s="150"/>
      <c r="D113" s="150"/>
      <c r="E113" s="150"/>
      <c r="F113" s="150"/>
      <c r="G113" s="150"/>
      <c r="H113" s="150"/>
      <c r="I113" s="150"/>
      <c r="J113" s="150"/>
      <c r="K113" s="151"/>
      <c r="L113" s="149" t="s">
        <v>27</v>
      </c>
      <c r="M113" s="150"/>
      <c r="N113" s="150"/>
      <c r="O113" s="151"/>
      <c r="Q113" s="234"/>
      <c r="AO113" s="234"/>
      <c r="AP113" s="234"/>
      <c r="AQ113" s="234"/>
      <c r="AR113" s="234"/>
      <c r="AS113" s="234"/>
      <c r="AT113" s="386"/>
      <c r="AU113" s="386"/>
      <c r="AV113" s="386"/>
      <c r="AW113" s="386"/>
      <c r="AX113" s="386"/>
      <c r="AY113" s="386"/>
      <c r="AZ113" s="386"/>
      <c r="BA113" s="386"/>
      <c r="BB113" s="386"/>
      <c r="BC113" s="386"/>
      <c r="BD113" s="386"/>
      <c r="BE113" s="386"/>
      <c r="BF113" s="386"/>
      <c r="BG113" s="386"/>
      <c r="BH113" s="386"/>
      <c r="BI113" s="386"/>
      <c r="BJ113" s="386"/>
      <c r="BK113" s="386"/>
      <c r="BL113" s="386"/>
      <c r="BM113" s="386"/>
      <c r="BN113" s="386"/>
    </row>
    <row r="114" spans="1:66">
      <c r="B114" s="149" t="s">
        <v>513</v>
      </c>
      <c r="C114" s="150"/>
      <c r="D114" s="150"/>
      <c r="E114" s="150"/>
      <c r="F114" s="150"/>
      <c r="G114" s="150"/>
      <c r="H114" s="150"/>
      <c r="I114" s="150"/>
      <c r="J114" s="150"/>
      <c r="K114" s="151"/>
      <c r="L114" s="149" t="s">
        <v>28</v>
      </c>
      <c r="M114" s="150"/>
      <c r="N114" s="150"/>
      <c r="O114" s="151"/>
      <c r="Q114" s="234"/>
      <c r="AO114" s="234"/>
      <c r="AP114" s="234"/>
      <c r="AQ114" s="234"/>
      <c r="AR114" s="234"/>
      <c r="AS114" s="234"/>
      <c r="AT114" s="386"/>
      <c r="AU114" s="386"/>
      <c r="AV114" s="386"/>
      <c r="AW114" s="386"/>
      <c r="AX114" s="386"/>
      <c r="AY114" s="386"/>
      <c r="AZ114" s="386"/>
      <c r="BA114" s="386"/>
      <c r="BB114" s="386"/>
      <c r="BC114" s="386"/>
      <c r="BD114" s="386"/>
      <c r="BE114" s="386"/>
      <c r="BF114" s="386"/>
      <c r="BG114" s="386"/>
      <c r="BH114" s="386"/>
      <c r="BI114" s="386"/>
      <c r="BJ114" s="386"/>
      <c r="BK114" s="386"/>
      <c r="BL114" s="386"/>
      <c r="BM114" s="386"/>
      <c r="BN114" s="386"/>
    </row>
    <row r="115" spans="1:66">
      <c r="B115" s="149" t="s">
        <v>22</v>
      </c>
      <c r="C115" s="150"/>
      <c r="D115" s="150"/>
      <c r="E115" s="150"/>
      <c r="F115" s="150"/>
      <c r="G115" s="150"/>
      <c r="H115" s="150"/>
      <c r="I115" s="150"/>
      <c r="J115" s="150"/>
      <c r="K115" s="151"/>
      <c r="L115" s="149" t="s">
        <v>29</v>
      </c>
      <c r="M115" s="150"/>
      <c r="N115" s="150"/>
      <c r="O115" s="151"/>
      <c r="Q115" s="234"/>
      <c r="AO115" s="234"/>
      <c r="AP115" s="234"/>
      <c r="AQ115" s="234"/>
      <c r="AR115" s="234"/>
      <c r="AS115" s="234"/>
      <c r="AT115" s="386"/>
      <c r="AU115" s="386"/>
      <c r="AV115" s="386"/>
      <c r="AW115" s="386"/>
      <c r="AX115" s="386"/>
      <c r="AY115" s="386"/>
      <c r="AZ115" s="386"/>
    </row>
    <row r="116" spans="1:66">
      <c r="B116" s="149" t="s">
        <v>30</v>
      </c>
      <c r="C116" s="150"/>
      <c r="D116" s="150"/>
      <c r="E116" s="150"/>
      <c r="F116" s="150"/>
      <c r="G116" s="150"/>
      <c r="H116" s="150"/>
      <c r="I116" s="150"/>
      <c r="J116" s="150"/>
      <c r="K116" s="151"/>
      <c r="L116" s="149" t="s">
        <v>31</v>
      </c>
      <c r="M116" s="150"/>
      <c r="N116" s="150"/>
      <c r="O116" s="151"/>
      <c r="Q116" s="234"/>
      <c r="AO116" s="234"/>
      <c r="AP116" s="234"/>
      <c r="AQ116" s="234"/>
      <c r="AR116" s="234"/>
      <c r="AS116" s="234"/>
      <c r="AT116" s="386"/>
      <c r="AU116" s="386"/>
      <c r="AV116" s="386"/>
      <c r="AW116" s="386"/>
      <c r="AX116" s="386"/>
      <c r="AY116" s="386"/>
      <c r="AZ116" s="386"/>
    </row>
    <row r="117" spans="1:66">
      <c r="B117" s="149" t="s">
        <v>32</v>
      </c>
      <c r="C117" s="150"/>
      <c r="D117" s="150"/>
      <c r="E117" s="150"/>
      <c r="F117" s="150"/>
      <c r="G117" s="150"/>
      <c r="H117" s="150"/>
      <c r="I117" s="150"/>
      <c r="J117" s="150"/>
      <c r="K117" s="151"/>
      <c r="L117" s="149" t="s">
        <v>33</v>
      </c>
      <c r="M117" s="150"/>
      <c r="N117" s="150"/>
      <c r="O117" s="151"/>
      <c r="Q117" s="234"/>
      <c r="AO117" s="234"/>
      <c r="AP117" s="234"/>
      <c r="AQ117" s="234"/>
      <c r="AR117" s="234"/>
      <c r="AS117" s="234"/>
      <c r="AT117" s="386"/>
      <c r="AU117" s="386"/>
      <c r="AV117" s="386"/>
      <c r="AW117" s="386"/>
      <c r="AX117" s="386"/>
      <c r="AY117" s="386"/>
      <c r="AZ117" s="386"/>
    </row>
    <row r="118" spans="1:66">
      <c r="B118" s="149" t="s">
        <v>23</v>
      </c>
      <c r="C118" s="150"/>
      <c r="D118" s="150"/>
      <c r="E118" s="150"/>
      <c r="F118" s="150"/>
      <c r="G118" s="150"/>
      <c r="H118" s="150"/>
      <c r="I118" s="150"/>
      <c r="J118" s="150"/>
      <c r="K118" s="151"/>
      <c r="L118" s="149" t="s">
        <v>34</v>
      </c>
      <c r="M118" s="150"/>
      <c r="N118" s="150"/>
      <c r="O118" s="151"/>
      <c r="Q118" s="234"/>
      <c r="R118" s="240"/>
      <c r="S118" s="240"/>
      <c r="T118" s="240"/>
      <c r="U118" s="240"/>
      <c r="V118" s="240"/>
      <c r="W118" s="240"/>
      <c r="X118" s="240"/>
      <c r="Y118" s="240"/>
      <c r="Z118" s="240"/>
      <c r="AA118" s="240"/>
      <c r="AB118" s="240"/>
      <c r="AC118" s="240"/>
      <c r="AD118" s="240"/>
      <c r="AE118" s="240"/>
      <c r="AF118" s="240"/>
      <c r="AG118" s="240"/>
      <c r="AH118" s="240"/>
      <c r="AI118" s="240"/>
      <c r="AJ118" s="240"/>
      <c r="AO118" s="234"/>
      <c r="AP118" s="234"/>
      <c r="AQ118" s="234"/>
      <c r="AR118" s="234"/>
      <c r="AS118" s="234"/>
      <c r="AT118" s="390"/>
    </row>
    <row r="119" spans="1:66">
      <c r="B119" s="149" t="s">
        <v>35</v>
      </c>
      <c r="C119" s="150"/>
      <c r="D119" s="150"/>
      <c r="E119" s="150"/>
      <c r="F119" s="150"/>
      <c r="G119" s="150"/>
      <c r="H119" s="150"/>
      <c r="I119" s="150"/>
      <c r="J119" s="150"/>
      <c r="K119" s="151"/>
      <c r="L119" s="149" t="s">
        <v>36</v>
      </c>
      <c r="M119" s="150"/>
      <c r="N119" s="150"/>
      <c r="O119" s="151"/>
      <c r="Q119" s="240"/>
      <c r="R119" s="241"/>
      <c r="S119" s="241"/>
      <c r="T119" s="241"/>
      <c r="U119" s="241"/>
      <c r="V119" s="241"/>
      <c r="W119" s="241"/>
      <c r="X119" s="241"/>
      <c r="AC119" s="241"/>
      <c r="AD119" s="241"/>
      <c r="AE119" s="241"/>
      <c r="AO119" s="234"/>
      <c r="AP119" s="234"/>
      <c r="AQ119" s="234"/>
      <c r="AR119" s="234"/>
      <c r="AS119" s="234"/>
      <c r="AT119" s="240"/>
      <c r="AU119" s="234"/>
      <c r="AV119" s="234"/>
    </row>
    <row r="120" spans="1:66">
      <c r="B120" s="152" t="s">
        <v>24</v>
      </c>
      <c r="C120" s="153"/>
      <c r="D120" s="153"/>
      <c r="E120" s="153"/>
      <c r="F120" s="153"/>
      <c r="G120" s="153"/>
      <c r="H120" s="153"/>
      <c r="I120" s="153"/>
      <c r="J120" s="153"/>
      <c r="K120" s="154"/>
      <c r="L120" s="152"/>
      <c r="M120" s="153"/>
      <c r="N120" s="153"/>
      <c r="O120" s="154"/>
      <c r="Q120" s="241"/>
      <c r="R120" s="241"/>
      <c r="S120" s="241"/>
      <c r="T120" s="241"/>
      <c r="U120" s="241"/>
      <c r="V120" s="241"/>
      <c r="W120" s="241"/>
      <c r="X120" s="241"/>
      <c r="AC120" s="241"/>
      <c r="AD120" s="241"/>
      <c r="AE120" s="241"/>
      <c r="AO120" s="234"/>
      <c r="AP120" s="234"/>
      <c r="AQ120" s="234"/>
      <c r="AR120" s="234"/>
      <c r="AS120" s="234"/>
      <c r="AT120" s="240"/>
      <c r="AU120" s="234"/>
      <c r="AV120" s="234"/>
    </row>
    <row r="121" spans="1:66">
      <c r="B121" s="240"/>
      <c r="C121" s="240"/>
      <c r="D121" s="240"/>
      <c r="E121" s="240"/>
      <c r="F121" s="240"/>
      <c r="G121" s="240"/>
      <c r="H121" s="240"/>
      <c r="I121" s="240"/>
      <c r="J121" s="240"/>
      <c r="K121" s="240"/>
      <c r="L121" s="240"/>
      <c r="M121" s="240"/>
      <c r="N121" s="240"/>
      <c r="O121" s="240"/>
      <c r="P121" s="234"/>
      <c r="Q121" s="241"/>
      <c r="AO121" s="234"/>
      <c r="AP121" s="234"/>
      <c r="AQ121" s="234"/>
      <c r="AR121" s="234"/>
      <c r="AS121" s="234"/>
    </row>
    <row r="122" spans="1:66">
      <c r="B122" s="241"/>
      <c r="C122" s="241"/>
      <c r="D122" s="241"/>
      <c r="E122" s="241"/>
      <c r="F122" s="241"/>
      <c r="G122" s="241"/>
      <c r="H122" s="241"/>
      <c r="I122" s="241"/>
      <c r="J122" s="241"/>
      <c r="K122" s="241"/>
      <c r="L122" s="241"/>
      <c r="M122" s="241"/>
      <c r="N122" s="241"/>
      <c r="O122" s="241"/>
      <c r="P122" s="234"/>
      <c r="AO122" s="234"/>
      <c r="AP122" s="234"/>
      <c r="AQ122" s="234"/>
      <c r="AR122" s="234"/>
      <c r="AS122" s="234"/>
    </row>
    <row r="123" spans="1:66">
      <c r="A123" s="103"/>
      <c r="B123" s="241"/>
      <c r="C123" s="241"/>
      <c r="D123" s="241"/>
      <c r="E123" s="241"/>
      <c r="F123" s="241"/>
      <c r="G123" s="241"/>
      <c r="H123" s="241"/>
      <c r="I123" s="241"/>
      <c r="J123" s="241"/>
      <c r="K123" s="241"/>
      <c r="L123" s="241"/>
      <c r="M123" s="241"/>
      <c r="N123" s="241"/>
      <c r="O123" s="241"/>
      <c r="P123" s="234"/>
      <c r="AO123" s="234"/>
      <c r="AP123" s="234"/>
      <c r="AQ123" s="234"/>
      <c r="AR123" s="234"/>
      <c r="AS123" s="234"/>
      <c r="AT123" s="240"/>
      <c r="AU123" s="234"/>
      <c r="AV123" s="234"/>
    </row>
    <row r="124" spans="1:66">
      <c r="A124" s="103"/>
      <c r="P124" s="234"/>
      <c r="AO124" s="234"/>
      <c r="AP124" s="234"/>
      <c r="AQ124" s="234"/>
      <c r="AR124" s="234"/>
      <c r="AS124" s="234"/>
      <c r="AT124" s="240"/>
      <c r="AU124" s="234"/>
      <c r="AV124" s="234"/>
    </row>
    <row r="125" spans="1:66">
      <c r="P125" s="234"/>
      <c r="AO125" s="234"/>
      <c r="AP125" s="234"/>
      <c r="AQ125" s="234"/>
      <c r="AR125" s="234"/>
      <c r="AT125" s="240"/>
      <c r="AU125" s="234"/>
      <c r="AV125" s="234"/>
    </row>
    <row r="126" spans="1:66">
      <c r="A126" s="321"/>
      <c r="P126" s="234"/>
      <c r="AO126" s="234"/>
      <c r="AP126" s="234"/>
      <c r="AQ126" s="234"/>
      <c r="AR126" s="234"/>
      <c r="AT126" s="240"/>
      <c r="AU126" s="234"/>
      <c r="AV126" s="234"/>
    </row>
    <row r="127" spans="1:66">
      <c r="A127" s="321"/>
      <c r="P127" s="234"/>
      <c r="AT127" s="234"/>
      <c r="AU127" s="234"/>
      <c r="AV127" s="234"/>
    </row>
    <row r="128" spans="1:66">
      <c r="P128" s="234"/>
      <c r="AT128" s="234"/>
      <c r="AU128" s="234"/>
      <c r="AV128" s="234"/>
    </row>
    <row r="129" spans="1:48">
      <c r="P129" s="234"/>
      <c r="AT129" s="234"/>
      <c r="AU129" s="234"/>
      <c r="AV129" s="234"/>
    </row>
    <row r="130" spans="1:48">
      <c r="A130" s="150"/>
      <c r="P130" s="234"/>
      <c r="AT130" s="229"/>
      <c r="AU130" s="229"/>
      <c r="AV130" s="229"/>
    </row>
    <row r="131" spans="1:48">
      <c r="P131" s="234"/>
      <c r="AT131" s="234"/>
      <c r="AU131" s="234"/>
      <c r="AV131" s="234"/>
    </row>
    <row r="132" spans="1:48">
      <c r="P132" s="240"/>
      <c r="Y132" s="240"/>
      <c r="Z132" s="240"/>
      <c r="AA132" s="240"/>
      <c r="AB132" s="240"/>
      <c r="AF132" s="240"/>
      <c r="AG132" s="240"/>
      <c r="AH132" s="240"/>
      <c r="AI132" s="240"/>
      <c r="AJ132" s="240"/>
      <c r="AT132" s="234"/>
      <c r="AU132" s="234"/>
      <c r="AV132" s="234"/>
    </row>
    <row r="133" spans="1:48">
      <c r="P133" s="241"/>
      <c r="Y133" s="241"/>
      <c r="Z133" s="241"/>
      <c r="AA133" s="241"/>
      <c r="AB133" s="241"/>
      <c r="AF133" s="241"/>
      <c r="AG133" s="241"/>
      <c r="AH133" s="241"/>
      <c r="AI133" s="241"/>
      <c r="AJ133" s="241"/>
      <c r="AT133" s="234"/>
      <c r="AU133" s="234"/>
      <c r="AV133" s="234"/>
    </row>
    <row r="134" spans="1:48">
      <c r="P134" s="241"/>
      <c r="Y134" s="241"/>
      <c r="Z134" s="241"/>
      <c r="AA134" s="241"/>
      <c r="AB134" s="241"/>
      <c r="AF134" s="241"/>
      <c r="AG134" s="241"/>
      <c r="AH134" s="241"/>
      <c r="AI134" s="241"/>
      <c r="AJ134" s="241"/>
      <c r="AT134" s="234"/>
      <c r="AU134" s="234"/>
      <c r="AV134" s="234"/>
    </row>
    <row r="135" spans="1:48">
      <c r="AT135" s="234"/>
      <c r="AU135" s="234"/>
      <c r="AV135" s="234"/>
    </row>
    <row r="136" spans="1:48">
      <c r="AT136" s="234"/>
      <c r="AU136" s="234"/>
      <c r="AV136" s="234"/>
    </row>
    <row r="137" spans="1:48">
      <c r="AT137" s="234"/>
      <c r="AU137" s="234"/>
      <c r="AV137" s="234"/>
    </row>
    <row r="138" spans="1:48">
      <c r="AT138" s="234"/>
      <c r="AU138" s="234"/>
      <c r="AV138" s="234"/>
    </row>
    <row r="139" spans="1:48">
      <c r="AT139" s="234"/>
      <c r="AU139" s="234"/>
      <c r="AV139" s="234"/>
    </row>
    <row r="140" spans="1:48">
      <c r="AT140" s="234"/>
      <c r="AU140" s="234"/>
      <c r="AV140" s="234"/>
    </row>
    <row r="141" spans="1:48">
      <c r="AT141" s="240"/>
      <c r="AU141" s="234"/>
      <c r="AV141" s="234"/>
    </row>
    <row r="142" spans="1:48">
      <c r="AT142" s="240"/>
      <c r="AU142" s="234"/>
      <c r="AV142" s="234"/>
    </row>
    <row r="143" spans="1:48">
      <c r="AT143" s="240"/>
      <c r="AU143" s="234"/>
      <c r="AV143" s="234"/>
    </row>
    <row r="151" spans="46:48">
      <c r="AT151" s="240"/>
      <c r="AU151" s="234"/>
      <c r="AV151" s="234"/>
    </row>
    <row r="152" spans="46:48">
      <c r="AT152" s="240"/>
      <c r="AU152" s="234"/>
      <c r="AV152" s="234"/>
    </row>
    <row r="153" spans="46:48">
      <c r="AT153" s="240"/>
      <c r="AU153" s="234"/>
      <c r="AV153" s="234"/>
    </row>
    <row r="154" spans="46:48">
      <c r="AT154" s="240"/>
      <c r="AU154" s="234"/>
      <c r="AV154" s="234"/>
    </row>
    <row r="155" spans="46:48">
      <c r="AT155" s="240"/>
      <c r="AU155" s="234"/>
      <c r="AV155" s="234"/>
    </row>
    <row r="156" spans="46:48">
      <c r="AT156" s="386"/>
    </row>
    <row r="157" spans="46:48">
      <c r="AT157" s="386"/>
    </row>
    <row r="158" spans="46:48">
      <c r="AT158" s="386"/>
    </row>
    <row r="159" spans="46:48">
      <c r="AT159" s="386"/>
    </row>
    <row r="160" spans="46:48">
      <c r="AT160" s="386"/>
    </row>
    <row r="161" spans="46:46">
      <c r="AT161" s="386"/>
    </row>
    <row r="162" spans="46:46">
      <c r="AT162" s="386"/>
    </row>
    <row r="163" spans="46:46">
      <c r="AT163" s="386"/>
    </row>
    <row r="164" spans="46:46">
      <c r="AT164" s="386"/>
    </row>
    <row r="165" spans="46:46">
      <c r="AT165" s="386"/>
    </row>
    <row r="166" spans="46:46">
      <c r="AT166" s="386"/>
    </row>
    <row r="167" spans="46:46">
      <c r="AT167" s="386"/>
    </row>
    <row r="168" spans="46:46">
      <c r="AT168" s="386"/>
    </row>
    <row r="169" spans="46:46">
      <c r="AT169" s="386"/>
    </row>
    <row r="170" spans="46:46">
      <c r="AT170" s="386"/>
    </row>
    <row r="171" spans="46:46">
      <c r="AT171" s="386"/>
    </row>
    <row r="173" spans="46:46">
      <c r="AT173" s="386"/>
    </row>
    <row r="174" spans="46:46">
      <c r="AT174" s="390"/>
    </row>
    <row r="175" spans="46:46">
      <c r="AT175" s="234"/>
    </row>
    <row r="176" spans="46:46">
      <c r="AT176" s="234"/>
    </row>
    <row r="177" spans="46:46">
      <c r="AT177" s="234"/>
    </row>
    <row r="178" spans="46:46">
      <c r="AT178" s="234"/>
    </row>
    <row r="179" spans="46:46">
      <c r="AT179" s="234"/>
    </row>
    <row r="180" spans="46:46">
      <c r="AT180" s="234"/>
    </row>
    <row r="181" spans="46:46">
      <c r="AT181" s="234"/>
    </row>
    <row r="182" spans="46:46">
      <c r="AT182" s="234"/>
    </row>
    <row r="183" spans="46:46">
      <c r="AT183" s="234"/>
    </row>
    <row r="184" spans="46:46">
      <c r="AT184" s="234"/>
    </row>
    <row r="185" spans="46:46">
      <c r="AT185" s="234"/>
    </row>
    <row r="186" spans="46:46">
      <c r="AT186" s="234"/>
    </row>
    <row r="187" spans="46:46">
      <c r="AT187" s="234"/>
    </row>
    <row r="188" spans="46:46">
      <c r="AT188" s="234"/>
    </row>
    <row r="189" spans="46:46">
      <c r="AT189" s="234"/>
    </row>
    <row r="190" spans="46:46">
      <c r="AT190" s="234"/>
    </row>
    <row r="191" spans="46:46">
      <c r="AT191" s="234"/>
    </row>
    <row r="192" spans="46:46">
      <c r="AT192" s="234"/>
    </row>
    <row r="193" spans="46:46">
      <c r="AT193" s="234"/>
    </row>
    <row r="194" spans="46:46">
      <c r="AT194" s="234"/>
    </row>
    <row r="195" spans="46:46">
      <c r="AT195" s="234"/>
    </row>
    <row r="196" spans="46:46">
      <c r="AT196" s="234"/>
    </row>
    <row r="197" spans="46:46">
      <c r="AT197" s="234"/>
    </row>
    <row r="198" spans="46:46">
      <c r="AT198" s="234"/>
    </row>
    <row r="199" spans="46:46">
      <c r="AT199" s="234"/>
    </row>
    <row r="200" spans="46:46">
      <c r="AT200" s="234"/>
    </row>
    <row r="201" spans="46:46">
      <c r="AT201" s="234"/>
    </row>
    <row r="202" spans="46:46">
      <c r="AT202" s="234"/>
    </row>
    <row r="203" spans="46:46">
      <c r="AT203" s="234"/>
    </row>
    <row r="204" spans="46:46">
      <c r="AT204" s="234"/>
    </row>
    <row r="205" spans="46:46">
      <c r="AT205" s="234"/>
    </row>
    <row r="206" spans="46:46">
      <c r="AT206" s="234"/>
    </row>
    <row r="207" spans="46:46">
      <c r="AT207" s="234"/>
    </row>
    <row r="208" spans="46:46">
      <c r="AT208" s="234"/>
    </row>
    <row r="209" spans="46:46">
      <c r="AT209" s="234"/>
    </row>
    <row r="210" spans="46:46">
      <c r="AT210" s="234"/>
    </row>
  </sheetData>
  <sheetProtection algorithmName="SHA-512" hashValue="sHqkn544cluZjKvPkYE5s6reyxir+dAzGmdBq6xOV+Trvn0jg5cFCWvGPXqvRStXfGN1PnN2CzCjzeAshzkmew==" saltValue="NL5hRf9piuRDLYc3UWhB1Q==" spinCount="100000" sheet="1" objects="1" scenarios="1"/>
  <mergeCells count="322">
    <mergeCell ref="A23:A36"/>
    <mergeCell ref="B26:C26"/>
    <mergeCell ref="F26:K26"/>
    <mergeCell ref="D90:E90"/>
    <mergeCell ref="D91:E91"/>
    <mergeCell ref="D92:E92"/>
    <mergeCell ref="S29:S30"/>
    <mergeCell ref="R29:R30"/>
    <mergeCell ref="B17:C21"/>
    <mergeCell ref="D18:D21"/>
    <mergeCell ref="D17:E17"/>
    <mergeCell ref="O17:O21"/>
    <mergeCell ref="A16:A22"/>
    <mergeCell ref="O29:O30"/>
    <mergeCell ref="B35:C35"/>
    <mergeCell ref="N31:N34"/>
    <mergeCell ref="A71:A74"/>
    <mergeCell ref="B38:C39"/>
    <mergeCell ref="E73:F73"/>
    <mergeCell ref="B37:C37"/>
    <mergeCell ref="D37:E37"/>
    <mergeCell ref="D25:E25"/>
    <mergeCell ref="D27:E27"/>
    <mergeCell ref="D31:D34"/>
    <mergeCell ref="B103:C103"/>
    <mergeCell ref="D103:K103"/>
    <mergeCell ref="M103:M105"/>
    <mergeCell ref="N103:N105"/>
    <mergeCell ref="O103:O105"/>
    <mergeCell ref="D99:K99"/>
    <mergeCell ref="M89:M95"/>
    <mergeCell ref="M96:M98"/>
    <mergeCell ref="M99:M100"/>
    <mergeCell ref="N89:N100"/>
    <mergeCell ref="O89:O100"/>
    <mergeCell ref="B105:C105"/>
    <mergeCell ref="N101:N102"/>
    <mergeCell ref="O101:O102"/>
    <mergeCell ref="L96:L98"/>
    <mergeCell ref="M101:M102"/>
    <mergeCell ref="AT1:BS1"/>
    <mergeCell ref="U75:U77"/>
    <mergeCell ref="AI80:AJ80"/>
    <mergeCell ref="Q72:AJ72"/>
    <mergeCell ref="Q78:Q82"/>
    <mergeCell ref="R78:R82"/>
    <mergeCell ref="T78:T82"/>
    <mergeCell ref="U78:U82"/>
    <mergeCell ref="AF78:AG82"/>
    <mergeCell ref="BF3:BF5"/>
    <mergeCell ref="BQ2:BS2"/>
    <mergeCell ref="AO1:AP1"/>
    <mergeCell ref="BH3:BH5"/>
    <mergeCell ref="BJ3:BJ5"/>
    <mergeCell ref="BD3:BD5"/>
    <mergeCell ref="BO2:BP2"/>
    <mergeCell ref="BP3:BP5"/>
    <mergeCell ref="BE2:BF2"/>
    <mergeCell ref="BI2:BJ2"/>
    <mergeCell ref="BM2:BN2"/>
    <mergeCell ref="BK2:BL2"/>
    <mergeCell ref="BG2:BH2"/>
    <mergeCell ref="BN3:BN5"/>
    <mergeCell ref="BL3:BL5"/>
    <mergeCell ref="AZ3:AZ5"/>
    <mergeCell ref="BB3:BB5"/>
    <mergeCell ref="U13:U15"/>
    <mergeCell ref="T13:T15"/>
    <mergeCell ref="AI81:AJ81"/>
    <mergeCell ref="AH76:AH77"/>
    <mergeCell ref="AI76:AI77"/>
    <mergeCell ref="AJ76:AJ77"/>
    <mergeCell ref="AF75:AG76"/>
    <mergeCell ref="Y76:AC76"/>
    <mergeCell ref="AD76:AD77"/>
    <mergeCell ref="AE76:AE77"/>
    <mergeCell ref="V76:V77"/>
    <mergeCell ref="Z77:AB77"/>
    <mergeCell ref="Z78:AB82"/>
    <mergeCell ref="AC77:AC82"/>
    <mergeCell ref="V81:V82"/>
    <mergeCell ref="W81:W82"/>
    <mergeCell ref="X76:X77"/>
    <mergeCell ref="AT2:AX2"/>
    <mergeCell ref="S38:S39"/>
    <mergeCell ref="Q13:R14"/>
    <mergeCell ref="F18:H18"/>
    <mergeCell ref="F15:H15"/>
    <mergeCell ref="N14:N15"/>
    <mergeCell ref="O14:O15"/>
    <mergeCell ref="R31:R34"/>
    <mergeCell ref="F20:H20"/>
    <mergeCell ref="F22:H22"/>
    <mergeCell ref="F16:H16"/>
    <mergeCell ref="S31:S34"/>
    <mergeCell ref="S13:S15"/>
    <mergeCell ref="S23:S24"/>
    <mergeCell ref="F24:H24"/>
    <mergeCell ref="F31:I31"/>
    <mergeCell ref="F32:I32"/>
    <mergeCell ref="F33:I33"/>
    <mergeCell ref="F34:I34"/>
    <mergeCell ref="F27:K27"/>
    <mergeCell ref="F36:K36"/>
    <mergeCell ref="D3:J3"/>
    <mergeCell ref="K3:L3"/>
    <mergeCell ref="D38:D39"/>
    <mergeCell ref="D29:E29"/>
    <mergeCell ref="B31:C34"/>
    <mergeCell ref="D30:E30"/>
    <mergeCell ref="B68:C68"/>
    <mergeCell ref="B72:B74"/>
    <mergeCell ref="D63:E63"/>
    <mergeCell ref="D66:E66"/>
    <mergeCell ref="B64:C64"/>
    <mergeCell ref="B65:C65"/>
    <mergeCell ref="D73:D74"/>
    <mergeCell ref="B71:G71"/>
    <mergeCell ref="F42:H42"/>
    <mergeCell ref="F62:H62"/>
    <mergeCell ref="B40:C40"/>
    <mergeCell ref="D60:E60"/>
    <mergeCell ref="F59:H59"/>
    <mergeCell ref="D61:E61"/>
    <mergeCell ref="B42:C42"/>
    <mergeCell ref="F52:H52"/>
    <mergeCell ref="F51:H51"/>
    <mergeCell ref="D43:M43"/>
    <mergeCell ref="H72:H74"/>
    <mergeCell ref="D68:E68"/>
    <mergeCell ref="B67:C67"/>
    <mergeCell ref="D67:E67"/>
    <mergeCell ref="F68:H68"/>
    <mergeCell ref="F67:H67"/>
    <mergeCell ref="F64:H64"/>
    <mergeCell ref="B66:C66"/>
    <mergeCell ref="F65:H65"/>
    <mergeCell ref="F66:H66"/>
    <mergeCell ref="C72:D72"/>
    <mergeCell ref="E72:G72"/>
    <mergeCell ref="C73:C74"/>
    <mergeCell ref="G73:G74"/>
    <mergeCell ref="D64:E64"/>
    <mergeCell ref="F58:H58"/>
    <mergeCell ref="F60:H60"/>
    <mergeCell ref="D55:E55"/>
    <mergeCell ref="D56:E56"/>
    <mergeCell ref="N43:O45"/>
    <mergeCell ref="F49:H49"/>
    <mergeCell ref="F50:H50"/>
    <mergeCell ref="F53:H53"/>
    <mergeCell ref="F44:K44"/>
    <mergeCell ref="L44:M45"/>
    <mergeCell ref="D44:E45"/>
    <mergeCell ref="F55:H55"/>
    <mergeCell ref="D57:E57"/>
    <mergeCell ref="F56:H56"/>
    <mergeCell ref="D58:E58"/>
    <mergeCell ref="F57:H57"/>
    <mergeCell ref="F61:H61"/>
    <mergeCell ref="F45:H45"/>
    <mergeCell ref="N46:O60"/>
    <mergeCell ref="N68:O68"/>
    <mergeCell ref="N61:O67"/>
    <mergeCell ref="L87:L88"/>
    <mergeCell ref="D94:K94"/>
    <mergeCell ref="D95:K95"/>
    <mergeCell ref="D101:K101"/>
    <mergeCell ref="K90:K92"/>
    <mergeCell ref="H91:H92"/>
    <mergeCell ref="D100:K100"/>
    <mergeCell ref="I97:I98"/>
    <mergeCell ref="F90:G90"/>
    <mergeCell ref="F91:G91"/>
    <mergeCell ref="F92:G92"/>
    <mergeCell ref="J91:J92"/>
    <mergeCell ref="I90:I92"/>
    <mergeCell ref="D96:K96"/>
    <mergeCell ref="D59:E59"/>
    <mergeCell ref="D107:K107"/>
    <mergeCell ref="D62:E62"/>
    <mergeCell ref="N87:N88"/>
    <mergeCell ref="N85:N86"/>
    <mergeCell ref="M87:M88"/>
    <mergeCell ref="N38:N39"/>
    <mergeCell ref="O85:O86"/>
    <mergeCell ref="D85:M85"/>
    <mergeCell ref="G97:H97"/>
    <mergeCell ref="G98:H98"/>
    <mergeCell ref="J97:K97"/>
    <mergeCell ref="J98:K98"/>
    <mergeCell ref="L89:L92"/>
    <mergeCell ref="F63:H63"/>
    <mergeCell ref="D65:E65"/>
    <mergeCell ref="D86:K86"/>
    <mergeCell ref="D87:K88"/>
    <mergeCell ref="F89:G89"/>
    <mergeCell ref="D106:K106"/>
    <mergeCell ref="D104:K104"/>
    <mergeCell ref="D105:K105"/>
    <mergeCell ref="D102:K102"/>
    <mergeCell ref="D93:K93"/>
    <mergeCell ref="O87:O88"/>
    <mergeCell ref="J1:O1"/>
    <mergeCell ref="AF13:AG14"/>
    <mergeCell ref="X14:X15"/>
    <mergeCell ref="W14:W15"/>
    <mergeCell ref="Y14:AC14"/>
    <mergeCell ref="AD14:AD15"/>
    <mergeCell ref="AE14:AE15"/>
    <mergeCell ref="Q31:Q34"/>
    <mergeCell ref="V13:AE13"/>
    <mergeCell ref="V14:V15"/>
    <mergeCell ref="O23:O24"/>
    <mergeCell ref="D13:M13"/>
    <mergeCell ref="D16:E16"/>
    <mergeCell ref="D22:E22"/>
    <mergeCell ref="D28:E28"/>
    <mergeCell ref="N29:N30"/>
    <mergeCell ref="F28:H28"/>
    <mergeCell ref="F19:H19"/>
    <mergeCell ref="N13:O13"/>
    <mergeCell ref="I8:I9"/>
    <mergeCell ref="L14:M14"/>
    <mergeCell ref="F14:K14"/>
    <mergeCell ref="F17:K17"/>
    <mergeCell ref="F25:K25"/>
    <mergeCell ref="F41:H41"/>
    <mergeCell ref="B36:C36"/>
    <mergeCell ref="B27:C27"/>
    <mergeCell ref="D41:E41"/>
    <mergeCell ref="F54:H54"/>
    <mergeCell ref="B28:C28"/>
    <mergeCell ref="D50:E50"/>
    <mergeCell ref="D51:E51"/>
    <mergeCell ref="D52:E52"/>
    <mergeCell ref="D53:E53"/>
    <mergeCell ref="D54:E54"/>
    <mergeCell ref="D46:E46"/>
    <mergeCell ref="D47:E47"/>
    <mergeCell ref="F46:H46"/>
    <mergeCell ref="D48:E48"/>
    <mergeCell ref="F47:H47"/>
    <mergeCell ref="D49:E49"/>
    <mergeCell ref="F48:H48"/>
    <mergeCell ref="A43:C43"/>
    <mergeCell ref="A44:C45"/>
    <mergeCell ref="D42:E42"/>
    <mergeCell ref="E31:E32"/>
    <mergeCell ref="E33:E34"/>
    <mergeCell ref="B29:B30"/>
    <mergeCell ref="B106:C106"/>
    <mergeCell ref="B107:C107"/>
    <mergeCell ref="A38:A39"/>
    <mergeCell ref="A40:A41"/>
    <mergeCell ref="B86:C86"/>
    <mergeCell ref="A87:A88"/>
    <mergeCell ref="B87:C88"/>
    <mergeCell ref="B89:C92"/>
    <mergeCell ref="B93:C93"/>
    <mergeCell ref="B94:C94"/>
    <mergeCell ref="B95:C95"/>
    <mergeCell ref="B96:C98"/>
    <mergeCell ref="B100:C100"/>
    <mergeCell ref="A61:A67"/>
    <mergeCell ref="B62:C62"/>
    <mergeCell ref="B61:C61"/>
    <mergeCell ref="A46:C60"/>
    <mergeCell ref="B102:C102"/>
    <mergeCell ref="B104:C104"/>
    <mergeCell ref="B101:C101"/>
    <mergeCell ref="B63:C63"/>
    <mergeCell ref="B41:C41"/>
    <mergeCell ref="B99:C99"/>
    <mergeCell ref="A103:A105"/>
    <mergeCell ref="BC2:BD2"/>
    <mergeCell ref="B16:C16"/>
    <mergeCell ref="B22:C22"/>
    <mergeCell ref="F40:H40"/>
    <mergeCell ref="F35:H35"/>
    <mergeCell ref="F37:H37"/>
    <mergeCell ref="F21:H21"/>
    <mergeCell ref="F38:H38"/>
    <mergeCell ref="F29:H29"/>
    <mergeCell ref="F30:H30"/>
    <mergeCell ref="B23:B24"/>
    <mergeCell ref="R38:R39"/>
    <mergeCell ref="Q29:Q30"/>
    <mergeCell ref="O31:O34"/>
    <mergeCell ref="Q38:Q39"/>
    <mergeCell ref="O38:O39"/>
    <mergeCell ref="D40:E40"/>
    <mergeCell ref="D35:E35"/>
    <mergeCell ref="D36:E36"/>
    <mergeCell ref="B3:C3"/>
    <mergeCell ref="A13:C13"/>
    <mergeCell ref="A14:A15"/>
    <mergeCell ref="F39:H39"/>
    <mergeCell ref="B25:C25"/>
    <mergeCell ref="A6:A7"/>
    <mergeCell ref="C6:G6"/>
    <mergeCell ref="AY2:AZ2"/>
    <mergeCell ref="BA2:BB2"/>
    <mergeCell ref="D23:E23"/>
    <mergeCell ref="D24:E24"/>
    <mergeCell ref="A8:A9"/>
    <mergeCell ref="AI82:AJ82"/>
    <mergeCell ref="B14:C15"/>
    <mergeCell ref="AH14:AH15"/>
    <mergeCell ref="V75:AE75"/>
    <mergeCell ref="AI14:AI15"/>
    <mergeCell ref="AI78:AJ78"/>
    <mergeCell ref="AI79:AJ79"/>
    <mergeCell ref="AH75:AJ75"/>
    <mergeCell ref="AJ14:AJ15"/>
    <mergeCell ref="AH13:AJ13"/>
    <mergeCell ref="B8:B9"/>
    <mergeCell ref="Q75:R76"/>
    <mergeCell ref="T75:T77"/>
    <mergeCell ref="F23:H23"/>
    <mergeCell ref="D14:E15"/>
    <mergeCell ref="W76:W77"/>
  </mergeCells>
  <phoneticPr fontId="1"/>
  <conditionalFormatting sqref="A13:O23 B24:O25 D26:O26 B27:O29 B30:N30 B31:O36 A37:O69 A70:F70 H70:O74 A71:B71 A72:C72 E72 A73:D73 A74:F82 A83:O89 A90:D92 F90:L92 A93:L95 A96:M100 A101:O107">
    <cfRule type="containsText" dxfId="13" priority="62" operator="containsText" text="エラー">
      <formula>NOT(ISERROR(SEARCH("エラー",A13)))</formula>
    </cfRule>
  </conditionalFormatting>
  <conditionalFormatting sqref="B26:C26">
    <cfRule type="containsText" dxfId="12" priority="2" operator="containsText" text="エラー">
      <formula>NOT(ISERROR(SEARCH("エラー",B26)))</formula>
    </cfRule>
  </conditionalFormatting>
  <conditionalFormatting sqref="F18:H24 K20 F28:H30 F35 W37 F37:H42 K42 K46:K68">
    <cfRule type="expression" dxfId="11" priority="4">
      <formula>IFERROR(NOT($W18),TRUE)</formula>
    </cfRule>
  </conditionalFormatting>
  <conditionalFormatting sqref="G73">
    <cfRule type="containsText" dxfId="10" priority="8" operator="containsText" text="エラー">
      <formula>NOT(ISERROR(SEARCH("エラー",G73)))</formula>
    </cfRule>
  </conditionalFormatting>
  <conditionalFormatting sqref="G75:O82">
    <cfRule type="containsText" dxfId="9" priority="3" operator="containsText" text="エラー">
      <formula>NOT(ISERROR(SEARCH("エラー",G75)))</formula>
    </cfRule>
  </conditionalFormatting>
  <conditionalFormatting sqref="J16 J18:J24 J28:J30 J35 J37:J42 J46:J68">
    <cfRule type="expression" dxfId="8" priority="17">
      <formula>AND($J16&lt;&gt;"",$J16&lt;&gt;"○")</formula>
    </cfRule>
  </conditionalFormatting>
  <conditionalFormatting sqref="L16:L42 L46:L68">
    <cfRule type="containsText" dxfId="7" priority="15" operator="containsText" text="調整">
      <formula>NOT(ISERROR(SEARCH("調整",L16)))</formula>
    </cfRule>
  </conditionalFormatting>
  <conditionalFormatting sqref="O16:O29 M16:M42 O31:O42 M46:O68">
    <cfRule type="containsText" dxfId="6" priority="13" operator="containsText" text="×">
      <formula>NOT(ISERROR(SEARCH("×",M16)))</formula>
    </cfRule>
  </conditionalFormatting>
  <conditionalFormatting sqref="O87:O89 O101:O107">
    <cfRule type="cellIs" dxfId="5" priority="40" operator="lessThan">
      <formula>0</formula>
    </cfRule>
  </conditionalFormatting>
  <dataValidations count="2">
    <dataValidation type="list" allowBlank="1" showInputMessage="1" showErrorMessage="1" sqref="F40:H42 F46:F67 F22:H24 F37:H38 F35:H35 F28:H30 F16:H16 F18:H20" xr:uid="{00000000-0002-0000-0D00-000000000000}">
      <formula1>INDIRECT($T16)</formula1>
    </dataValidation>
    <dataValidation type="decimal" allowBlank="1" showInputMessage="1" showErrorMessage="1" sqref="K20 K46:K68" xr:uid="{00000000-0002-0000-0D00-000001000000}">
      <formula1>0</formula1>
      <formula2>$U20</formula2>
    </dataValidation>
  </dataValidations>
  <printOptions horizontalCentered="1"/>
  <pageMargins left="0.51181102362204722" right="0.31496062992125984" top="0.74803149606299213" bottom="0.74803149606299213" header="0.31496062992125984" footer="0.31496062992125984"/>
  <pageSetup paperSize="9" scale="59" orientation="portrait" r:id="rId1"/>
  <rowBreaks count="2" manualBreakCount="2">
    <brk id="69" max="14" man="1"/>
    <brk id="131" max="1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O52"/>
  <sheetViews>
    <sheetView showZeros="0" view="pageBreakPreview" zoomScale="90" zoomScaleNormal="85" zoomScaleSheetLayoutView="90" workbookViewId="0"/>
  </sheetViews>
  <sheetFormatPr defaultColWidth="9" defaultRowHeight="12" outlineLevelCol="1"/>
  <cols>
    <col min="1" max="1" width="4.625" style="105" customWidth="1"/>
    <col min="2" max="28" width="5.625" style="105" customWidth="1"/>
    <col min="29" max="29" width="50.625" style="105" customWidth="1"/>
    <col min="30" max="30" width="18" style="105" hidden="1" customWidth="1" outlineLevel="1"/>
    <col min="31" max="40" width="9" style="105" hidden="1" customWidth="1" outlineLevel="1"/>
    <col min="41" max="41" width="9" style="105" collapsed="1"/>
    <col min="42" max="16384" width="9" style="105"/>
  </cols>
  <sheetData>
    <row r="1" spans="1:40" ht="15" customHeight="1">
      <c r="A1" s="664"/>
      <c r="B1" s="664"/>
      <c r="C1" s="664"/>
      <c r="D1" s="664"/>
      <c r="E1" s="664"/>
      <c r="F1" s="664"/>
      <c r="G1" s="664"/>
      <c r="H1" s="664"/>
      <c r="I1" s="664"/>
      <c r="J1" s="664"/>
      <c r="K1" s="664"/>
      <c r="L1" s="664"/>
      <c r="M1" s="664"/>
      <c r="N1" s="664"/>
      <c r="O1" s="664"/>
      <c r="P1" s="664"/>
      <c r="Q1" s="664"/>
      <c r="R1" s="664"/>
      <c r="S1" s="664"/>
      <c r="T1" s="664"/>
      <c r="U1" s="1862" t="str">
        <f>AD2&amp;"様式6"&amp;AD3</f>
        <v>加-25_4月申-様式6-幼_Ver.4.00</v>
      </c>
      <c r="V1" s="1862"/>
      <c r="W1" s="1862"/>
      <c r="X1" s="1862"/>
      <c r="Y1" s="1862"/>
      <c r="Z1" s="1862"/>
      <c r="AA1" s="1862"/>
      <c r="AB1" s="664"/>
      <c r="AD1" s="221" t="s">
        <v>942</v>
      </c>
      <c r="AE1" s="106" t="s">
        <v>154</v>
      </c>
      <c r="AF1" s="106" t="s">
        <v>152</v>
      </c>
      <c r="AG1" s="129" t="s">
        <v>107</v>
      </c>
      <c r="AH1" s="130" t="s">
        <v>106</v>
      </c>
      <c r="AI1" s="130" t="s">
        <v>109</v>
      </c>
      <c r="AJ1" s="130" t="s">
        <v>110</v>
      </c>
      <c r="AK1" s="131" t="s">
        <v>155</v>
      </c>
      <c r="AL1" s="131" t="s">
        <v>110</v>
      </c>
      <c r="AM1" s="131" t="s">
        <v>206</v>
      </c>
      <c r="AN1" s="131" t="s">
        <v>539</v>
      </c>
    </row>
    <row r="2" spans="1:40" ht="15" customHeight="1">
      <c r="A2" s="665" t="s">
        <v>408</v>
      </c>
      <c r="B2" s="664"/>
      <c r="C2" s="664"/>
      <c r="D2" s="664"/>
      <c r="E2" s="664"/>
      <c r="F2" s="664"/>
      <c r="G2" s="664"/>
      <c r="H2" s="664"/>
      <c r="I2" s="664"/>
      <c r="J2" s="664"/>
      <c r="K2" s="664"/>
      <c r="L2" s="664"/>
      <c r="M2" s="664"/>
      <c r="N2" s="664"/>
      <c r="O2" s="664"/>
      <c r="P2" s="664"/>
      <c r="Q2" s="664"/>
      <c r="R2" s="664"/>
      <c r="S2" s="664"/>
      <c r="T2" s="664"/>
      <c r="U2" s="664"/>
      <c r="V2" s="664"/>
      <c r="W2" s="598"/>
      <c r="X2" s="598"/>
      <c r="Y2" s="598"/>
      <c r="Z2" s="598"/>
      <c r="AA2" s="598"/>
      <c r="AB2" s="664"/>
      <c r="AD2" s="221" t="str">
        <f>【様式１】総括表・個票!$AJ$2</f>
        <v>加-25_4月申-</v>
      </c>
      <c r="AE2" s="106"/>
      <c r="AF2" s="106"/>
      <c r="AG2" s="129"/>
      <c r="AH2" s="130"/>
      <c r="AI2" s="102"/>
      <c r="AJ2" s="130"/>
      <c r="AK2" s="106"/>
      <c r="AL2" s="106"/>
      <c r="AM2" s="106"/>
      <c r="AN2" s="106"/>
    </row>
    <row r="3" spans="1:40" ht="15" customHeight="1">
      <c r="A3" s="664"/>
      <c r="B3" s="664"/>
      <c r="C3" s="664"/>
      <c r="D3" s="664"/>
      <c r="E3" s="664"/>
      <c r="F3" s="664"/>
      <c r="G3" s="664"/>
      <c r="H3" s="664"/>
      <c r="I3" s="664"/>
      <c r="J3" s="664"/>
      <c r="K3" s="664"/>
      <c r="L3" s="664"/>
      <c r="M3" s="664"/>
      <c r="N3" s="664"/>
      <c r="O3" s="664"/>
      <c r="P3" s="664"/>
      <c r="Q3" s="664"/>
      <c r="R3" s="664"/>
      <c r="S3" s="664"/>
      <c r="T3" s="664"/>
      <c r="U3" s="664"/>
      <c r="V3" s="664"/>
      <c r="W3" s="664"/>
      <c r="X3" s="664"/>
      <c r="Y3" s="2566" t="s">
        <v>133</v>
      </c>
      <c r="Z3" s="2566"/>
      <c r="AA3" s="2566"/>
      <c r="AB3" s="2566"/>
      <c r="AD3" s="221" t="str">
        <f>【様式１】総括表・個票!$AJ$3</f>
        <v>-幼_Ver.4.00</v>
      </c>
      <c r="AE3" s="106">
        <v>2</v>
      </c>
      <c r="AF3" s="106">
        <v>7</v>
      </c>
      <c r="AG3" s="132" t="s">
        <v>86</v>
      </c>
      <c r="AH3" s="130" t="s">
        <v>4</v>
      </c>
      <c r="AI3" s="133">
        <v>1</v>
      </c>
      <c r="AJ3" s="130">
        <v>1</v>
      </c>
      <c r="AK3" s="131">
        <v>1</v>
      </c>
      <c r="AL3" s="106" t="s">
        <v>205</v>
      </c>
      <c r="AM3" s="106" t="s">
        <v>414</v>
      </c>
      <c r="AN3" s="106" t="s">
        <v>541</v>
      </c>
    </row>
    <row r="4" spans="1:40" ht="27.75" customHeight="1">
      <c r="A4" s="664"/>
      <c r="B4" s="664"/>
      <c r="C4" s="664"/>
      <c r="D4" s="664"/>
      <c r="E4" s="664"/>
      <c r="F4" s="664"/>
      <c r="G4" s="664"/>
      <c r="H4" s="664"/>
      <c r="I4" s="664"/>
      <c r="J4" s="664"/>
      <c r="K4" s="664"/>
      <c r="L4" s="664"/>
      <c r="M4" s="664"/>
      <c r="N4" s="664"/>
      <c r="O4" s="664"/>
      <c r="P4" s="664"/>
      <c r="Q4" s="2567" t="s">
        <v>146</v>
      </c>
      <c r="R4" s="2567"/>
      <c r="S4" s="2567"/>
      <c r="T4" s="2567"/>
      <c r="U4" s="2567"/>
      <c r="V4" s="2567"/>
      <c r="W4" s="2568">
        <f>【様式１】総括表・個票!$D$10</f>
        <v>2025</v>
      </c>
      <c r="X4" s="2569"/>
      <c r="Y4" s="666" t="s">
        <v>9</v>
      </c>
      <c r="Z4" s="1105">
        <f>【様式１】総括表・個票!$I$10</f>
        <v>4</v>
      </c>
      <c r="AA4" s="2570" t="s">
        <v>145</v>
      </c>
      <c r="AB4" s="2571"/>
      <c r="AE4" s="106">
        <v>3</v>
      </c>
      <c r="AF4" s="106">
        <v>6</v>
      </c>
      <c r="AG4" s="134"/>
      <c r="AH4" s="130" t="s">
        <v>105</v>
      </c>
      <c r="AI4" s="133">
        <v>2</v>
      </c>
      <c r="AJ4" s="130">
        <v>2</v>
      </c>
      <c r="AK4" s="131">
        <v>2</v>
      </c>
      <c r="AL4" s="106" t="s">
        <v>520</v>
      </c>
      <c r="AM4" s="106" t="s">
        <v>174</v>
      </c>
      <c r="AN4" s="106" t="s">
        <v>540</v>
      </c>
    </row>
    <row r="5" spans="1:40" ht="27.75" customHeight="1">
      <c r="A5" s="664"/>
      <c r="B5" s="664"/>
      <c r="C5" s="664"/>
      <c r="D5" s="664"/>
      <c r="E5" s="664"/>
      <c r="F5" s="664"/>
      <c r="G5" s="664"/>
      <c r="H5" s="664"/>
      <c r="I5" s="664"/>
      <c r="J5" s="664"/>
      <c r="K5" s="664"/>
      <c r="L5" s="664"/>
      <c r="M5" s="664"/>
      <c r="N5" s="664"/>
      <c r="O5" s="664"/>
      <c r="P5" s="664"/>
      <c r="Q5" s="2567" t="s">
        <v>1014</v>
      </c>
      <c r="R5" s="2567"/>
      <c r="S5" s="2567"/>
      <c r="T5" s="2567"/>
      <c r="U5" s="2567"/>
      <c r="V5" s="2567"/>
      <c r="W5" s="2567">
        <f>【様式１】総括表・個票!D12</f>
        <v>0</v>
      </c>
      <c r="X5" s="2567"/>
      <c r="Y5" s="2567"/>
      <c r="Z5" s="2567"/>
      <c r="AA5" s="2567"/>
      <c r="AB5" s="2567"/>
      <c r="AE5" s="106">
        <v>4</v>
      </c>
      <c r="AF5" s="106">
        <v>5</v>
      </c>
      <c r="AG5" s="134"/>
      <c r="AH5" s="135"/>
      <c r="AI5" s="133">
        <v>3</v>
      </c>
      <c r="AJ5" s="130">
        <v>3</v>
      </c>
      <c r="AK5" s="131">
        <v>3</v>
      </c>
      <c r="AL5" s="136"/>
      <c r="AM5" s="136" t="s">
        <v>503</v>
      </c>
      <c r="AN5" s="171"/>
    </row>
    <row r="6" spans="1:40" ht="18.75">
      <c r="A6" s="664"/>
      <c r="B6" s="667" t="str">
        <f>【様式１】総括表・個票!A3&amp;"【確認表】"</f>
        <v>2025年度施設型給付費等にかかる加算（調整）適用申請書【確認表】</v>
      </c>
      <c r="C6" s="668"/>
      <c r="D6" s="668"/>
      <c r="E6" s="668"/>
      <c r="F6" s="668"/>
      <c r="G6" s="668"/>
      <c r="H6" s="668"/>
      <c r="I6" s="668"/>
      <c r="J6" s="668"/>
      <c r="K6" s="668"/>
      <c r="L6" s="668"/>
      <c r="M6" s="668"/>
      <c r="N6" s="668"/>
      <c r="O6" s="668"/>
      <c r="P6" s="668"/>
      <c r="Q6" s="668"/>
      <c r="R6" s="668"/>
      <c r="S6" s="668"/>
      <c r="T6" s="668"/>
      <c r="U6" s="668"/>
      <c r="V6" s="668"/>
      <c r="W6" s="668"/>
      <c r="X6" s="668"/>
      <c r="Y6" s="668"/>
      <c r="Z6" s="668"/>
      <c r="AA6" s="668"/>
      <c r="AB6" s="668"/>
      <c r="AE6" s="106">
        <v>5</v>
      </c>
      <c r="AF6" s="136">
        <v>4</v>
      </c>
      <c r="AG6" s="134"/>
      <c r="AH6" s="135"/>
      <c r="AI6" s="133">
        <v>3.5</v>
      </c>
      <c r="AJ6" s="130">
        <v>4</v>
      </c>
      <c r="AK6" s="131">
        <v>4</v>
      </c>
    </row>
    <row r="7" spans="1:40" ht="15" customHeight="1">
      <c r="A7" s="664"/>
      <c r="B7" s="664"/>
      <c r="C7" s="664"/>
      <c r="D7" s="664"/>
      <c r="E7" s="664"/>
      <c r="F7" s="664"/>
      <c r="G7" s="664"/>
      <c r="H7" s="664"/>
      <c r="I7" s="664"/>
      <c r="J7" s="664"/>
      <c r="K7" s="664"/>
      <c r="L7" s="664"/>
      <c r="M7" s="664"/>
      <c r="N7" s="664"/>
      <c r="O7" s="664"/>
      <c r="P7" s="664"/>
      <c r="Q7" s="664"/>
      <c r="R7" s="664"/>
      <c r="S7" s="664"/>
      <c r="T7" s="664"/>
      <c r="U7" s="664"/>
      <c r="V7" s="664"/>
      <c r="W7" s="664"/>
      <c r="X7" s="664"/>
      <c r="Y7" s="664"/>
      <c r="Z7" s="664"/>
      <c r="AA7" s="664"/>
      <c r="AB7" s="664"/>
      <c r="AE7" s="106">
        <v>6</v>
      </c>
      <c r="AF7" s="106"/>
      <c r="AG7" s="134"/>
      <c r="AH7" s="135"/>
      <c r="AI7" s="133">
        <v>4</v>
      </c>
      <c r="AJ7" s="130">
        <v>5</v>
      </c>
      <c r="AK7" s="131">
        <v>5</v>
      </c>
    </row>
    <row r="8" spans="1:40" ht="15" customHeight="1">
      <c r="A8" s="664"/>
      <c r="B8" s="669" t="s">
        <v>147</v>
      </c>
      <c r="C8" s="670"/>
      <c r="D8" s="670"/>
      <c r="E8" s="670"/>
      <c r="F8" s="670"/>
      <c r="G8" s="670"/>
      <c r="H8" s="670"/>
      <c r="I8" s="670"/>
      <c r="J8" s="670"/>
      <c r="K8" s="670"/>
      <c r="L8" s="670"/>
      <c r="M8" s="670"/>
      <c r="N8" s="670"/>
      <c r="O8" s="670"/>
      <c r="P8" s="670"/>
      <c r="Q8" s="670"/>
      <c r="R8" s="670"/>
      <c r="S8" s="670"/>
      <c r="T8" s="670"/>
      <c r="U8" s="670"/>
      <c r="V8" s="670"/>
      <c r="W8" s="670"/>
      <c r="X8" s="670"/>
      <c r="Y8" s="670"/>
      <c r="Z8" s="670"/>
      <c r="AA8" s="670"/>
      <c r="AB8" s="670"/>
      <c r="AE8" s="106">
        <v>7</v>
      </c>
      <c r="AF8" s="106"/>
      <c r="AG8" s="134"/>
      <c r="AH8" s="135"/>
      <c r="AI8" s="133">
        <v>4.5</v>
      </c>
      <c r="AJ8" s="135"/>
      <c r="AK8" s="131">
        <v>6</v>
      </c>
    </row>
    <row r="9" spans="1:40" ht="15" customHeight="1">
      <c r="A9" s="664"/>
      <c r="B9" s="2553" t="s">
        <v>151</v>
      </c>
      <c r="C9" s="2553"/>
      <c r="D9" s="2553"/>
      <c r="E9" s="2553"/>
      <c r="F9" s="2553"/>
      <c r="G9" s="2553"/>
      <c r="H9" s="2553"/>
      <c r="I9" s="2553"/>
      <c r="J9" s="2553"/>
      <c r="K9" s="2553"/>
      <c r="L9" s="2553"/>
      <c r="M9" s="2553"/>
      <c r="N9" s="2553"/>
      <c r="O9" s="2553"/>
      <c r="P9" s="2553"/>
      <c r="Q9" s="2553"/>
      <c r="R9" s="2553"/>
      <c r="S9" s="2553"/>
      <c r="T9" s="2553"/>
      <c r="U9" s="2553"/>
      <c r="V9" s="2553"/>
      <c r="W9" s="2553"/>
      <c r="X9" s="2553"/>
      <c r="Y9" s="2553"/>
      <c r="Z9" s="2553"/>
      <c r="AA9" s="2553"/>
      <c r="AB9" s="2553"/>
      <c r="AE9" s="106">
        <v>8</v>
      </c>
      <c r="AF9" s="106"/>
      <c r="AG9" s="134"/>
      <c r="AH9" s="135"/>
      <c r="AI9" s="133">
        <v>5</v>
      </c>
      <c r="AJ9" s="135"/>
      <c r="AK9" s="131">
        <v>7</v>
      </c>
    </row>
    <row r="10" spans="1:40" ht="15" customHeight="1">
      <c r="A10" s="664"/>
      <c r="B10" s="2553" t="s">
        <v>452</v>
      </c>
      <c r="C10" s="2553"/>
      <c r="D10" s="2553"/>
      <c r="E10" s="2553"/>
      <c r="F10" s="2553"/>
      <c r="G10" s="2553"/>
      <c r="H10" s="2553"/>
      <c r="I10" s="2553"/>
      <c r="J10" s="2553"/>
      <c r="K10" s="2553"/>
      <c r="L10" s="2553"/>
      <c r="M10" s="2553"/>
      <c r="N10" s="2553"/>
      <c r="O10" s="2553"/>
      <c r="P10" s="2553"/>
      <c r="Q10" s="2553"/>
      <c r="R10" s="2553"/>
      <c r="S10" s="2553"/>
      <c r="T10" s="2553"/>
      <c r="U10" s="2553"/>
      <c r="V10" s="2553"/>
      <c r="W10" s="2553"/>
      <c r="X10" s="2553"/>
      <c r="Y10" s="2553"/>
      <c r="Z10" s="2553"/>
      <c r="AA10" s="2553"/>
      <c r="AB10" s="2553"/>
      <c r="AE10" s="106">
        <v>9</v>
      </c>
      <c r="AF10" s="106"/>
      <c r="AI10" s="133">
        <v>5.5</v>
      </c>
      <c r="AK10" s="131">
        <v>8</v>
      </c>
    </row>
    <row r="11" spans="1:40" ht="15" customHeight="1">
      <c r="A11" s="664"/>
      <c r="B11" s="670" t="s">
        <v>1155</v>
      </c>
      <c r="C11" s="670"/>
      <c r="D11" s="670"/>
      <c r="E11" s="670"/>
      <c r="F11" s="670"/>
      <c r="G11" s="670"/>
      <c r="H11" s="670"/>
      <c r="I11" s="670"/>
      <c r="J11" s="670"/>
      <c r="K11" s="670"/>
      <c r="L11" s="670"/>
      <c r="M11" s="670"/>
      <c r="N11" s="670"/>
      <c r="O11" s="670"/>
      <c r="P11" s="670"/>
      <c r="Q11" s="670"/>
      <c r="R11" s="670"/>
      <c r="S11" s="670"/>
      <c r="T11" s="670"/>
      <c r="U11" s="670"/>
      <c r="V11" s="670"/>
      <c r="W11" s="670"/>
      <c r="X11" s="670"/>
      <c r="Y11" s="670"/>
      <c r="Z11" s="670"/>
      <c r="AA11" s="670"/>
      <c r="AB11" s="670"/>
      <c r="AE11" s="106">
        <v>10</v>
      </c>
      <c r="AF11" s="106"/>
      <c r="AI11" s="133">
        <v>6</v>
      </c>
      <c r="AK11" s="131">
        <v>9</v>
      </c>
    </row>
    <row r="12" spans="1:40" ht="15" customHeight="1" thickBot="1">
      <c r="A12" s="668"/>
      <c r="B12" s="669" t="s">
        <v>148</v>
      </c>
      <c r="C12" s="669"/>
      <c r="D12" s="669"/>
      <c r="E12" s="669"/>
      <c r="F12" s="669"/>
      <c r="G12" s="669"/>
      <c r="H12" s="669"/>
      <c r="I12" s="670"/>
      <c r="J12" s="670"/>
      <c r="K12" s="670"/>
      <c r="L12" s="670"/>
      <c r="M12" s="670"/>
      <c r="N12" s="670"/>
      <c r="O12" s="670"/>
      <c r="P12" s="670"/>
      <c r="Q12" s="670"/>
      <c r="R12" s="670"/>
      <c r="S12" s="670"/>
      <c r="T12" s="670"/>
      <c r="U12" s="670"/>
      <c r="V12" s="670"/>
      <c r="W12" s="670"/>
      <c r="X12" s="670"/>
      <c r="Y12" s="670"/>
      <c r="Z12" s="670"/>
      <c r="AA12" s="670"/>
      <c r="AB12" s="670"/>
      <c r="AE12" s="106">
        <v>11</v>
      </c>
      <c r="AF12" s="106"/>
      <c r="AI12" s="133">
        <v>6.5</v>
      </c>
      <c r="AK12" s="131">
        <v>10</v>
      </c>
    </row>
    <row r="13" spans="1:40" ht="15" customHeight="1">
      <c r="A13" s="664"/>
      <c r="B13" s="2554" t="s">
        <v>131</v>
      </c>
      <c r="C13" s="1225">
        <f>【様式１】総括表・個票!$A19</f>
        <v>1</v>
      </c>
      <c r="D13" s="1015">
        <f>【様式１】総括表・個票!$A20</f>
        <v>2</v>
      </c>
      <c r="E13" s="1016">
        <f>【様式１】総括表・個票!$A21</f>
        <v>3</v>
      </c>
      <c r="F13" s="1200">
        <f>【様式１】総括表・個票!$A22</f>
        <v>4</v>
      </c>
      <c r="G13" s="1016">
        <f>【様式１】総括表・個票!$A23</f>
        <v>5</v>
      </c>
      <c r="H13" s="1016">
        <f>【様式１】総括表・個票!$A24</f>
        <v>6</v>
      </c>
      <c r="I13" s="1016">
        <f>【様式１】総括表・個票!$A25</f>
        <v>7</v>
      </c>
      <c r="J13" s="1014">
        <f>【様式１】総括表・個票!$A26</f>
        <v>8</v>
      </c>
      <c r="K13" s="2556">
        <f>【様式１】総括表・個票!$A27</f>
        <v>9</v>
      </c>
      <c r="L13" s="2557"/>
      <c r="M13" s="1014">
        <f>【様式１】総括表・個票!A28</f>
        <v>10</v>
      </c>
      <c r="N13" s="1014">
        <f>【様式１】総括表・個票!$A30</f>
        <v>11</v>
      </c>
      <c r="O13" s="1014">
        <f>【様式１】総括表・個票!$A32</f>
        <v>12</v>
      </c>
      <c r="P13" s="1014">
        <f>【様式１】総括表・個票!$A34</f>
        <v>13</v>
      </c>
      <c r="Q13" s="1014">
        <f>【様式１】総括表・個票!$A35</f>
        <v>14</v>
      </c>
      <c r="R13" s="1014">
        <f>【様式１】総括表・個票!$A36</f>
        <v>15</v>
      </c>
      <c r="S13" s="1014">
        <f>【様式１】総括表・個票!$A37</f>
        <v>16</v>
      </c>
      <c r="T13" s="1014">
        <f>【様式１】総括表・個票!$A38</f>
        <v>17</v>
      </c>
      <c r="U13" s="1014">
        <f>【様式１】総括表・個票!$A39</f>
        <v>18</v>
      </c>
      <c r="V13" s="1014">
        <f>【様式１】総括表・個票!$A40</f>
        <v>19</v>
      </c>
      <c r="W13" s="1014">
        <f>【様式１】総括表・個票!$A41</f>
        <v>20</v>
      </c>
      <c r="X13" s="1014">
        <f>【様式１】総括表・個票!$A43</f>
        <v>21</v>
      </c>
      <c r="Y13" s="1014">
        <f>【様式１】総括表・個票!$A44</f>
        <v>22</v>
      </c>
      <c r="Z13" s="1014">
        <f>【様式１】総括表・個票!$A45</f>
        <v>23</v>
      </c>
      <c r="AA13" s="1014">
        <f>【様式１】総括表・個票!$A46</f>
        <v>24</v>
      </c>
      <c r="AB13" s="671">
        <f>【様式１】総括表・個票!$A47</f>
        <v>25</v>
      </c>
      <c r="AE13" s="106">
        <v>12</v>
      </c>
      <c r="AF13" s="106"/>
      <c r="AI13" s="133">
        <v>7</v>
      </c>
      <c r="AK13" s="131">
        <v>11</v>
      </c>
    </row>
    <row r="14" spans="1:40" ht="205.5">
      <c r="A14" s="664"/>
      <c r="B14" s="2555"/>
      <c r="C14" s="1226" t="str">
        <f>【様式１】総括表・個票!$F19</f>
        <v>処遇改善等加算</v>
      </c>
      <c r="D14" s="672" t="str">
        <f>【様式１】総括表・個票!$F20</f>
        <v>副園長・教頭配置加算</v>
      </c>
      <c r="E14" s="672" t="str">
        <f>【様式１】総括表・個票!$F21</f>
        <v>3歳児配置改善加算</v>
      </c>
      <c r="F14" s="672" t="str">
        <f>【様式１】総括表・個票!$F22</f>
        <v>4歳以上児配置改善加算</v>
      </c>
      <c r="G14" s="672" t="str">
        <f>【様式１】総括表・個票!$F23</f>
        <v>満3歳児対応加配加算</v>
      </c>
      <c r="H14" s="672" t="str">
        <f>【様式１】総括表・個票!$F24</f>
        <v>講師配置加算</v>
      </c>
      <c r="I14" s="672" t="str">
        <f>【様式１】総括表・個票!$F25</f>
        <v>チーム保育加配加算</v>
      </c>
      <c r="J14" s="672" t="str">
        <f>【様式１】総括表・個票!$F26</f>
        <v>通園送迎加算</v>
      </c>
      <c r="K14" s="2558" t="str">
        <f>【様式１】総括表・個票!$F27</f>
        <v>給食実施加算（１号）</v>
      </c>
      <c r="L14" s="2559"/>
      <c r="M14" s="672" t="str">
        <f>【様式１】総括表・個票!F28</f>
        <v>副食費徴収免除加算</v>
      </c>
      <c r="N14" s="672" t="str">
        <f>【様式１】総括表・個票!$F30</f>
        <v>年齢別配置基準を下回る場合（減算）</v>
      </c>
      <c r="O14" s="672" t="str">
        <f>【様式１】総括表・個票!$F32</f>
        <v>定員を恒常的に超過する場合（減算）</v>
      </c>
      <c r="P14" s="672" t="str">
        <f>【様式１】総括表・個票!$F34</f>
        <v>主幹教諭等専任加算</v>
      </c>
      <c r="Q14" s="672" t="str">
        <f>【様式１】総括表・個票!$F35</f>
        <v>子育て支援活動費加算</v>
      </c>
      <c r="R14" s="672" t="str">
        <f>【様式１】総括表・個票!$F36</f>
        <v>療育支援加算</v>
      </c>
      <c r="S14" s="672" t="str">
        <f>【様式１】総括表・個票!$F37</f>
        <v>事務職員配置加算</v>
      </c>
      <c r="T14" s="672" t="str">
        <f>【様式１】総括表・個票!$F38</f>
        <v>指導充実加配加算</v>
      </c>
      <c r="U14" s="672" t="str">
        <f>【様式１】総括表・個票!$F39</f>
        <v>事務負担対応加配加算</v>
      </c>
      <c r="V14" s="672" t="str">
        <f>【様式１】総括表・個票!$F40</f>
        <v>栄養管理加算</v>
      </c>
      <c r="W14" s="672" t="str">
        <f>【様式１】総括表・個票!$F41</f>
        <v>冷暖房費加算</v>
      </c>
      <c r="X14" s="672" t="str">
        <f>【様式１】総括表・個票!$F43</f>
        <v>外部監査費加算</v>
      </c>
      <c r="Y14" s="672" t="str">
        <f>【様式１】総括表・個票!$F44</f>
        <v>施設関係者評価加算</v>
      </c>
      <c r="Z14" s="672" t="str">
        <f>【様式１】総括表・個票!$F45</f>
        <v>施設機能強化推進費加算</v>
      </c>
      <c r="AA14" s="672" t="str">
        <f>【様式１】総括表・個票!$F46</f>
        <v>小学校接続加算</v>
      </c>
      <c r="AB14" s="673" t="str">
        <f>【様式１】総括表・個票!$F47</f>
        <v>第三者評価受審加算</v>
      </c>
      <c r="AI14" s="133">
        <v>7.5</v>
      </c>
      <c r="AK14" s="131">
        <v>12</v>
      </c>
    </row>
    <row r="15" spans="1:40" ht="62.25" thickBot="1">
      <c r="A15" s="664"/>
      <c r="B15" s="2555"/>
      <c r="C15" s="1227"/>
      <c r="D15" s="1224"/>
      <c r="E15" s="674"/>
      <c r="F15" s="674"/>
      <c r="G15" s="674"/>
      <c r="H15" s="674"/>
      <c r="I15" s="675" t="s">
        <v>351</v>
      </c>
      <c r="J15" s="674"/>
      <c r="K15" s="676" t="s">
        <v>353</v>
      </c>
      <c r="L15" s="677" t="s">
        <v>451</v>
      </c>
      <c r="M15" s="678" t="s">
        <v>478</v>
      </c>
      <c r="N15" s="675" t="s">
        <v>480</v>
      </c>
      <c r="O15" s="675" t="s">
        <v>352</v>
      </c>
      <c r="P15" s="674"/>
      <c r="Q15" s="674"/>
      <c r="R15" s="678" t="s">
        <v>479</v>
      </c>
      <c r="S15" s="674"/>
      <c r="T15" s="674"/>
      <c r="U15" s="674"/>
      <c r="V15" s="675" t="s">
        <v>353</v>
      </c>
      <c r="W15" s="675" t="s">
        <v>481</v>
      </c>
      <c r="X15" s="679" t="s">
        <v>350</v>
      </c>
      <c r="Y15" s="679" t="s">
        <v>463</v>
      </c>
      <c r="Z15" s="679" t="s">
        <v>350</v>
      </c>
      <c r="AA15" s="679" t="s">
        <v>350</v>
      </c>
      <c r="AB15" s="680" t="s">
        <v>350</v>
      </c>
      <c r="AI15" s="133">
        <v>8</v>
      </c>
      <c r="AK15" s="131">
        <v>13</v>
      </c>
    </row>
    <row r="16" spans="1:40" ht="35.1" customHeight="1">
      <c r="A16" s="664"/>
      <c r="B16" s="681" t="s">
        <v>153</v>
      </c>
      <c r="C16" s="2560"/>
      <c r="D16" s="168"/>
      <c r="E16" s="168"/>
      <c r="F16" s="168"/>
      <c r="G16" s="168"/>
      <c r="H16" s="168"/>
      <c r="I16" s="168"/>
      <c r="J16" s="168"/>
      <c r="K16" s="168"/>
      <c r="L16" s="168"/>
      <c r="M16" s="168"/>
      <c r="N16" s="168"/>
      <c r="O16" s="168"/>
      <c r="P16" s="168"/>
      <c r="Q16" s="168"/>
      <c r="R16" s="168"/>
      <c r="S16" s="168"/>
      <c r="T16" s="168"/>
      <c r="U16" s="168"/>
      <c r="V16" s="168"/>
      <c r="W16" s="2563" t="s">
        <v>89</v>
      </c>
      <c r="X16" s="2550"/>
      <c r="Y16" s="2550"/>
      <c r="Z16" s="2550"/>
      <c r="AA16" s="2550"/>
      <c r="AB16" s="2572"/>
      <c r="AK16" s="131">
        <v>14</v>
      </c>
    </row>
    <row r="17" spans="1:37" ht="35.1" customHeight="1">
      <c r="A17" s="664"/>
      <c r="B17" s="682" t="s">
        <v>134</v>
      </c>
      <c r="C17" s="2561"/>
      <c r="D17" s="169"/>
      <c r="E17" s="169"/>
      <c r="F17" s="169"/>
      <c r="G17" s="169"/>
      <c r="H17" s="169"/>
      <c r="I17" s="169"/>
      <c r="J17" s="169"/>
      <c r="K17" s="169"/>
      <c r="L17" s="169"/>
      <c r="M17" s="169"/>
      <c r="N17" s="169"/>
      <c r="O17" s="169"/>
      <c r="P17" s="169"/>
      <c r="Q17" s="169"/>
      <c r="R17" s="169"/>
      <c r="S17" s="169"/>
      <c r="T17" s="169"/>
      <c r="U17" s="169"/>
      <c r="V17" s="169"/>
      <c r="W17" s="2564"/>
      <c r="X17" s="2551"/>
      <c r="Y17" s="2551"/>
      <c r="Z17" s="2551"/>
      <c r="AA17" s="2551"/>
      <c r="AB17" s="2573"/>
      <c r="AK17" s="131">
        <v>15</v>
      </c>
    </row>
    <row r="18" spans="1:37" ht="35.1" customHeight="1">
      <c r="A18" s="664"/>
      <c r="B18" s="682" t="s">
        <v>135</v>
      </c>
      <c r="C18" s="2561"/>
      <c r="D18" s="169"/>
      <c r="E18" s="169"/>
      <c r="F18" s="169"/>
      <c r="G18" s="169"/>
      <c r="H18" s="169"/>
      <c r="I18" s="169"/>
      <c r="J18" s="169"/>
      <c r="K18" s="169"/>
      <c r="L18" s="169"/>
      <c r="M18" s="169"/>
      <c r="N18" s="169"/>
      <c r="O18" s="169"/>
      <c r="P18" s="169"/>
      <c r="Q18" s="169"/>
      <c r="R18" s="169"/>
      <c r="S18" s="169"/>
      <c r="T18" s="169"/>
      <c r="U18" s="169"/>
      <c r="V18" s="169"/>
      <c r="W18" s="2564"/>
      <c r="X18" s="2551"/>
      <c r="Y18" s="2551"/>
      <c r="Z18" s="2551"/>
      <c r="AA18" s="2551"/>
      <c r="AB18" s="2573"/>
      <c r="AK18" s="131">
        <v>16</v>
      </c>
    </row>
    <row r="19" spans="1:37" ht="35.1" customHeight="1">
      <c r="A19" s="664"/>
      <c r="B19" s="682" t="s">
        <v>136</v>
      </c>
      <c r="C19" s="2561"/>
      <c r="D19" s="169"/>
      <c r="E19" s="169"/>
      <c r="F19" s="169"/>
      <c r="G19" s="169"/>
      <c r="H19" s="169"/>
      <c r="I19" s="169"/>
      <c r="J19" s="169"/>
      <c r="K19" s="169"/>
      <c r="L19" s="169"/>
      <c r="M19" s="169"/>
      <c r="N19" s="169"/>
      <c r="O19" s="169"/>
      <c r="P19" s="169"/>
      <c r="Q19" s="169"/>
      <c r="R19" s="169"/>
      <c r="S19" s="169"/>
      <c r="T19" s="169"/>
      <c r="U19" s="169"/>
      <c r="V19" s="169"/>
      <c r="W19" s="2564"/>
      <c r="X19" s="2551"/>
      <c r="Y19" s="2551"/>
      <c r="Z19" s="2551"/>
      <c r="AA19" s="2551"/>
      <c r="AB19" s="2573"/>
      <c r="AK19" s="131">
        <v>17</v>
      </c>
    </row>
    <row r="20" spans="1:37" ht="35.1" customHeight="1">
      <c r="A20" s="664"/>
      <c r="B20" s="682" t="s">
        <v>137</v>
      </c>
      <c r="C20" s="2561"/>
      <c r="D20" s="169"/>
      <c r="E20" s="169"/>
      <c r="F20" s="169"/>
      <c r="G20" s="169"/>
      <c r="H20" s="169"/>
      <c r="I20" s="169"/>
      <c r="J20" s="169"/>
      <c r="K20" s="169"/>
      <c r="L20" s="169"/>
      <c r="M20" s="169"/>
      <c r="N20" s="169"/>
      <c r="O20" s="169"/>
      <c r="P20" s="169"/>
      <c r="Q20" s="169"/>
      <c r="R20" s="169"/>
      <c r="S20" s="169"/>
      <c r="T20" s="169"/>
      <c r="U20" s="169"/>
      <c r="V20" s="169"/>
      <c r="W20" s="2564"/>
      <c r="X20" s="2551"/>
      <c r="Y20" s="2551"/>
      <c r="Z20" s="2551"/>
      <c r="AA20" s="2551"/>
      <c r="AB20" s="2573"/>
      <c r="AK20" s="131">
        <v>18</v>
      </c>
    </row>
    <row r="21" spans="1:37" ht="35.1" customHeight="1">
      <c r="A21" s="664"/>
      <c r="B21" s="682" t="s">
        <v>138</v>
      </c>
      <c r="C21" s="2561"/>
      <c r="D21" s="169"/>
      <c r="E21" s="169"/>
      <c r="F21" s="169"/>
      <c r="G21" s="169"/>
      <c r="H21" s="169"/>
      <c r="I21" s="169"/>
      <c r="J21" s="169"/>
      <c r="K21" s="169"/>
      <c r="L21" s="169"/>
      <c r="M21" s="169"/>
      <c r="N21" s="169"/>
      <c r="O21" s="169"/>
      <c r="P21" s="169"/>
      <c r="Q21" s="169"/>
      <c r="R21" s="169"/>
      <c r="S21" s="169"/>
      <c r="T21" s="169"/>
      <c r="U21" s="169"/>
      <c r="V21" s="169"/>
      <c r="W21" s="2564"/>
      <c r="X21" s="2551"/>
      <c r="Y21" s="2551"/>
      <c r="Z21" s="2551"/>
      <c r="AA21" s="2551"/>
      <c r="AB21" s="2573"/>
      <c r="AK21" s="131">
        <v>19</v>
      </c>
    </row>
    <row r="22" spans="1:37" ht="35.1" customHeight="1">
      <c r="A22" s="664"/>
      <c r="B22" s="682" t="s">
        <v>139</v>
      </c>
      <c r="C22" s="2561"/>
      <c r="D22" s="169"/>
      <c r="E22" s="169"/>
      <c r="F22" s="169"/>
      <c r="G22" s="169"/>
      <c r="H22" s="169"/>
      <c r="I22" s="169"/>
      <c r="J22" s="169"/>
      <c r="K22" s="169"/>
      <c r="L22" s="169"/>
      <c r="M22" s="169"/>
      <c r="N22" s="169"/>
      <c r="O22" s="169"/>
      <c r="P22" s="169"/>
      <c r="Q22" s="169"/>
      <c r="R22" s="169"/>
      <c r="S22" s="169"/>
      <c r="T22" s="169"/>
      <c r="U22" s="169"/>
      <c r="V22" s="169"/>
      <c r="W22" s="2564"/>
      <c r="X22" s="2551"/>
      <c r="Y22" s="2551"/>
      <c r="Z22" s="2551"/>
      <c r="AA22" s="2551"/>
      <c r="AB22" s="2573"/>
      <c r="AK22" s="131">
        <v>20</v>
      </c>
    </row>
    <row r="23" spans="1:37" ht="35.1" customHeight="1">
      <c r="A23" s="664"/>
      <c r="B23" s="682" t="s">
        <v>140</v>
      </c>
      <c r="C23" s="2561"/>
      <c r="D23" s="169"/>
      <c r="E23" s="169"/>
      <c r="F23" s="169"/>
      <c r="G23" s="169"/>
      <c r="H23" s="169"/>
      <c r="I23" s="169"/>
      <c r="J23" s="169"/>
      <c r="K23" s="169"/>
      <c r="L23" s="169"/>
      <c r="M23" s="169"/>
      <c r="N23" s="169"/>
      <c r="O23" s="169"/>
      <c r="P23" s="169"/>
      <c r="Q23" s="169"/>
      <c r="R23" s="169"/>
      <c r="S23" s="169"/>
      <c r="T23" s="169"/>
      <c r="U23" s="169"/>
      <c r="V23" s="169"/>
      <c r="W23" s="2564"/>
      <c r="X23" s="2551"/>
      <c r="Y23" s="2551"/>
      <c r="Z23" s="2551"/>
      <c r="AA23" s="2551"/>
      <c r="AB23" s="2573"/>
      <c r="AK23" s="131">
        <v>21</v>
      </c>
    </row>
    <row r="24" spans="1:37" ht="35.1" customHeight="1">
      <c r="A24" s="664"/>
      <c r="B24" s="682" t="s">
        <v>141</v>
      </c>
      <c r="C24" s="2561"/>
      <c r="D24" s="169"/>
      <c r="E24" s="169"/>
      <c r="F24" s="169"/>
      <c r="G24" s="169"/>
      <c r="H24" s="169"/>
      <c r="I24" s="169"/>
      <c r="J24" s="169"/>
      <c r="K24" s="169"/>
      <c r="L24" s="169"/>
      <c r="M24" s="169"/>
      <c r="N24" s="169"/>
      <c r="O24" s="169"/>
      <c r="P24" s="169"/>
      <c r="Q24" s="169"/>
      <c r="R24" s="169"/>
      <c r="S24" s="169"/>
      <c r="T24" s="169"/>
      <c r="U24" s="169"/>
      <c r="V24" s="169"/>
      <c r="W24" s="2564"/>
      <c r="X24" s="2551"/>
      <c r="Y24" s="2551"/>
      <c r="Z24" s="2551"/>
      <c r="AA24" s="2551"/>
      <c r="AB24" s="2573"/>
      <c r="AK24" s="131">
        <v>22</v>
      </c>
    </row>
    <row r="25" spans="1:37" ht="35.1" customHeight="1">
      <c r="A25" s="664"/>
      <c r="B25" s="682" t="s">
        <v>142</v>
      </c>
      <c r="C25" s="2561"/>
      <c r="D25" s="169"/>
      <c r="E25" s="169"/>
      <c r="F25" s="169"/>
      <c r="G25" s="169"/>
      <c r="H25" s="169"/>
      <c r="I25" s="169"/>
      <c r="J25" s="169"/>
      <c r="K25" s="169"/>
      <c r="L25" s="169"/>
      <c r="M25" s="169"/>
      <c r="N25" s="169"/>
      <c r="O25" s="169"/>
      <c r="P25" s="169"/>
      <c r="Q25" s="169"/>
      <c r="R25" s="169"/>
      <c r="S25" s="169"/>
      <c r="T25" s="169"/>
      <c r="U25" s="169"/>
      <c r="V25" s="169"/>
      <c r="W25" s="2564"/>
      <c r="X25" s="2551"/>
      <c r="Y25" s="2551"/>
      <c r="Z25" s="2551"/>
      <c r="AA25" s="2551"/>
      <c r="AB25" s="2573"/>
      <c r="AK25" s="131">
        <v>23</v>
      </c>
    </row>
    <row r="26" spans="1:37" ht="35.1" customHeight="1">
      <c r="A26" s="664"/>
      <c r="B26" s="682" t="s">
        <v>143</v>
      </c>
      <c r="C26" s="2561"/>
      <c r="D26" s="169"/>
      <c r="E26" s="169"/>
      <c r="F26" s="169"/>
      <c r="G26" s="169"/>
      <c r="H26" s="169"/>
      <c r="I26" s="169"/>
      <c r="J26" s="169"/>
      <c r="K26" s="169"/>
      <c r="L26" s="169"/>
      <c r="M26" s="169"/>
      <c r="N26" s="169"/>
      <c r="O26" s="169"/>
      <c r="P26" s="169"/>
      <c r="Q26" s="169"/>
      <c r="R26" s="169"/>
      <c r="S26" s="169"/>
      <c r="T26" s="169"/>
      <c r="U26" s="169"/>
      <c r="V26" s="169"/>
      <c r="W26" s="2564"/>
      <c r="X26" s="2551"/>
      <c r="Y26" s="2551"/>
      <c r="Z26" s="2551"/>
      <c r="AA26" s="2551"/>
      <c r="AB26" s="2573"/>
      <c r="AK26" s="131">
        <v>24</v>
      </c>
    </row>
    <row r="27" spans="1:37" ht="35.1" customHeight="1" thickBot="1">
      <c r="A27" s="664"/>
      <c r="B27" s="683" t="s">
        <v>144</v>
      </c>
      <c r="C27" s="2562"/>
      <c r="D27" s="170"/>
      <c r="E27" s="170"/>
      <c r="F27" s="170"/>
      <c r="G27" s="170"/>
      <c r="H27" s="170"/>
      <c r="I27" s="170"/>
      <c r="J27" s="170"/>
      <c r="K27" s="170"/>
      <c r="L27" s="170"/>
      <c r="M27" s="170"/>
      <c r="N27" s="170"/>
      <c r="O27" s="170"/>
      <c r="P27" s="170"/>
      <c r="Q27" s="170"/>
      <c r="R27" s="170"/>
      <c r="S27" s="170"/>
      <c r="T27" s="170"/>
      <c r="U27" s="170"/>
      <c r="V27" s="170"/>
      <c r="W27" s="2565"/>
      <c r="X27" s="2552"/>
      <c r="Y27" s="2552"/>
      <c r="Z27" s="2552"/>
      <c r="AA27" s="2552"/>
      <c r="AB27" s="2574"/>
      <c r="AK27" s="131">
        <v>25</v>
      </c>
    </row>
    <row r="28" spans="1:37" ht="30" customHeight="1">
      <c r="X28" s="109"/>
      <c r="Y28" s="109"/>
      <c r="Z28" s="109"/>
      <c r="AA28" s="109"/>
      <c r="AB28" s="109"/>
      <c r="AK28" s="131">
        <v>26</v>
      </c>
    </row>
    <row r="29" spans="1:37" ht="45" customHeight="1">
      <c r="AK29" s="131">
        <v>27</v>
      </c>
    </row>
    <row r="30" spans="1:37">
      <c r="AK30" s="131">
        <v>28</v>
      </c>
    </row>
    <row r="31" spans="1:37">
      <c r="AK31" s="131">
        <v>29</v>
      </c>
    </row>
    <row r="32" spans="1:37">
      <c r="AK32" s="131">
        <v>30</v>
      </c>
    </row>
    <row r="33" spans="37:37">
      <c r="AK33" s="131">
        <v>31</v>
      </c>
    </row>
    <row r="34" spans="37:37">
      <c r="AK34" s="131">
        <v>32</v>
      </c>
    </row>
    <row r="35" spans="37:37">
      <c r="AK35" s="131">
        <v>33</v>
      </c>
    </row>
    <row r="36" spans="37:37">
      <c r="AK36" s="131">
        <v>34</v>
      </c>
    </row>
    <row r="37" spans="37:37">
      <c r="AK37" s="131">
        <v>35</v>
      </c>
    </row>
    <row r="38" spans="37:37">
      <c r="AK38" s="131">
        <v>36</v>
      </c>
    </row>
    <row r="39" spans="37:37">
      <c r="AK39" s="131">
        <v>37</v>
      </c>
    </row>
    <row r="40" spans="37:37">
      <c r="AK40" s="131">
        <v>38</v>
      </c>
    </row>
    <row r="41" spans="37:37">
      <c r="AK41" s="131">
        <v>39</v>
      </c>
    </row>
    <row r="42" spans="37:37">
      <c r="AK42" s="131">
        <v>40</v>
      </c>
    </row>
    <row r="43" spans="37:37">
      <c r="AK43" s="131">
        <v>41</v>
      </c>
    </row>
    <row r="44" spans="37:37">
      <c r="AK44" s="131">
        <v>42</v>
      </c>
    </row>
    <row r="45" spans="37:37">
      <c r="AK45" s="131">
        <v>43</v>
      </c>
    </row>
    <row r="46" spans="37:37">
      <c r="AK46" s="131">
        <v>44</v>
      </c>
    </row>
    <row r="47" spans="37:37">
      <c r="AK47" s="131">
        <v>45</v>
      </c>
    </row>
    <row r="48" spans="37:37">
      <c r="AK48" s="131">
        <v>46</v>
      </c>
    </row>
    <row r="49" spans="37:37">
      <c r="AK49" s="131">
        <v>47</v>
      </c>
    </row>
    <row r="50" spans="37:37">
      <c r="AK50" s="131">
        <v>48</v>
      </c>
    </row>
    <row r="51" spans="37:37">
      <c r="AK51" s="131">
        <v>49</v>
      </c>
    </row>
    <row r="52" spans="37:37">
      <c r="AK52" s="131">
        <v>50</v>
      </c>
    </row>
  </sheetData>
  <sheetProtection algorithmName="SHA-512" hashValue="mlAlGsS2m3oxZp6yxKWjQ5ubKt+E0dCQjPr7YbPx9fGAnvoVr95TuzD5+D66jEcWsap9gy0Ii9J2PKRnrUZK5A==" saltValue="udwGiUFdbuL25gtbpx2H9g==" spinCount="100000" sheet="1" objects="1" scenarios="1"/>
  <mergeCells count="19">
    <mergeCell ref="U1:AA1"/>
    <mergeCell ref="C16:C27"/>
    <mergeCell ref="W16:W27"/>
    <mergeCell ref="X16:X27"/>
    <mergeCell ref="Y3:AB3"/>
    <mergeCell ref="Q4:V4"/>
    <mergeCell ref="W4:X4"/>
    <mergeCell ref="AA4:AB4"/>
    <mergeCell ref="Q5:V5"/>
    <mergeCell ref="W5:AB5"/>
    <mergeCell ref="AB16:AB27"/>
    <mergeCell ref="Y16:Y27"/>
    <mergeCell ref="Z16:Z27"/>
    <mergeCell ref="AA16:AA27"/>
    <mergeCell ref="B9:AB9"/>
    <mergeCell ref="B10:AB10"/>
    <mergeCell ref="B13:B15"/>
    <mergeCell ref="K13:L13"/>
    <mergeCell ref="K14:L14"/>
  </mergeCells>
  <phoneticPr fontId="1"/>
  <conditionalFormatting sqref="E16:I27 P16:P27 T16:T27">
    <cfRule type="expression" dxfId="4" priority="5">
      <formula>AND(OR(E16="○",E16&gt;=1),$N16&gt;=1)</formula>
    </cfRule>
  </conditionalFormatting>
  <conditionalFormatting sqref="F16:F27">
    <cfRule type="expression" dxfId="3" priority="3">
      <formula>ISNUMBER($I16)</formula>
    </cfRule>
  </conditionalFormatting>
  <conditionalFormatting sqref="I16:I27">
    <cfRule type="expression" dxfId="2" priority="2">
      <formula>$F16="○"</formula>
    </cfRule>
  </conditionalFormatting>
  <conditionalFormatting sqref="L17:L27">
    <cfRule type="expression" dxfId="1" priority="4">
      <formula>AND(L16&gt;0,L17&gt;0,L17&lt;&gt;L16)</formula>
    </cfRule>
  </conditionalFormatting>
  <conditionalFormatting sqref="Q16:R27">
    <cfRule type="expression" dxfId="0" priority="6">
      <formula>AND($P16=0,OR(Q16="○",Q16="その他",Q16="特児"))</formula>
    </cfRule>
  </conditionalFormatting>
  <dataValidations count="10">
    <dataValidation type="list" errorStyle="warning" showInputMessage="1" showErrorMessage="1" sqref="R16:R27" xr:uid="{00000000-0002-0000-0E00-000000000000}">
      <formula1>$AH$2:$AH$4</formula1>
    </dataValidation>
    <dataValidation type="list" showInputMessage="1" showErrorMessage="1" sqref="C16:C27" xr:uid="{00000000-0002-0000-0E00-000002000000}">
      <formula1>$AE$2:$AE$13</formula1>
    </dataValidation>
    <dataValidation type="list" errorStyle="warning" showInputMessage="1" showErrorMessage="1" sqref="D16:H27 Z16:AB27 W16:X27 O16:Q27 S16:U27 J16:J27" xr:uid="{00000000-0002-0000-0E00-000003000000}">
      <formula1>$AG$2:$AG$3</formula1>
    </dataValidation>
    <dataValidation type="list" errorStyle="warning" showInputMessage="1" showErrorMessage="1" sqref="L16:L27" xr:uid="{00000000-0002-0000-0E00-000004000000}">
      <formula1>$AJ$2:$AJ$7</formula1>
    </dataValidation>
    <dataValidation type="list" errorStyle="warning" showInputMessage="1" showErrorMessage="1" sqref="N16:N27" xr:uid="{00000000-0002-0000-0E00-000005000000}">
      <formula1>$AK$2:$AK$7</formula1>
    </dataValidation>
    <dataValidation type="list" errorStyle="warning" showInputMessage="1" showErrorMessage="1" sqref="I16:I27" xr:uid="{00000000-0002-0000-0E00-000006000000}">
      <formula1>$AI$2:$AI$15</formula1>
    </dataValidation>
    <dataValidation type="list" allowBlank="1" showInputMessage="1" showErrorMessage="1" sqref="M16:M27" xr:uid="{00000000-0002-0000-0E00-000007000000}">
      <formula1>$AK$2:$AK$22</formula1>
    </dataValidation>
    <dataValidation type="list" errorStyle="warning" showInputMessage="1" showErrorMessage="1" sqref="K16:K27" xr:uid="{00000000-0002-0000-0E00-000009000000}">
      <formula1>$AL$2:$AL$4</formula1>
    </dataValidation>
    <dataValidation type="list" errorStyle="warning" showInputMessage="1" showErrorMessage="1" sqref="V16:V27" xr:uid="{00000000-0002-0000-0E00-00000A000000}">
      <formula1>$AM$2:$AM$5</formula1>
    </dataValidation>
    <dataValidation type="list" errorStyle="warning" showInputMessage="1" showErrorMessage="1" sqref="Y16:Y27" xr:uid="{00000000-0002-0000-0E00-00000B000000}">
      <formula1>$AN$2:$AN$4</formula1>
    </dataValidation>
  </dataValidations>
  <pageMargins left="0.7" right="0.7" top="0.75" bottom="0.75" header="0.3" footer="0.3"/>
  <pageSetup paperSize="9" scale="4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C18"/>
  <sheetViews>
    <sheetView workbookViewId="0">
      <selection activeCell="A2" sqref="A2"/>
    </sheetView>
  </sheetViews>
  <sheetFormatPr defaultColWidth="9" defaultRowHeight="13.5"/>
  <cols>
    <col min="1" max="1" width="11.625" style="174" bestFit="1" customWidth="1"/>
    <col min="2" max="2" width="9" style="174"/>
    <col min="3" max="3" width="53.875" style="174" customWidth="1"/>
    <col min="4" max="16384" width="9" style="174"/>
  </cols>
  <sheetData>
    <row r="1" spans="1:3">
      <c r="A1" s="172" t="s">
        <v>210</v>
      </c>
      <c r="B1" s="173" t="s">
        <v>161</v>
      </c>
      <c r="C1" s="173" t="s">
        <v>162</v>
      </c>
    </row>
    <row r="2" spans="1:3">
      <c r="A2" s="1230">
        <v>44707</v>
      </c>
      <c r="B2" s="1231">
        <v>1</v>
      </c>
      <c r="C2" s="1232" t="s">
        <v>163</v>
      </c>
    </row>
    <row r="3" spans="1:3" ht="27.6" customHeight="1">
      <c r="A3" s="1230">
        <v>44799</v>
      </c>
      <c r="B3" s="1231">
        <v>1.01</v>
      </c>
      <c r="C3" s="1216" t="s">
        <v>1057</v>
      </c>
    </row>
    <row r="4" spans="1:3" ht="128.44999999999999" customHeight="1">
      <c r="A4" s="1230">
        <v>45069</v>
      </c>
      <c r="B4" s="1231">
        <v>2</v>
      </c>
      <c r="C4" s="1191" t="s">
        <v>1098</v>
      </c>
    </row>
    <row r="5" spans="1:3" ht="216.75" customHeight="1">
      <c r="A5" s="1230">
        <v>45436</v>
      </c>
      <c r="B5" s="1231">
        <v>3</v>
      </c>
      <c r="C5" s="1216" t="s">
        <v>1159</v>
      </c>
    </row>
    <row r="6" spans="1:3" ht="74.45" customHeight="1">
      <c r="A6" s="1233">
        <v>45498</v>
      </c>
      <c r="B6" s="1234">
        <v>3.01</v>
      </c>
      <c r="C6" s="1221" t="s">
        <v>1136</v>
      </c>
    </row>
    <row r="7" spans="1:3" ht="120.95" customHeight="1">
      <c r="A7" s="1230">
        <v>45748</v>
      </c>
      <c r="B7" s="1231">
        <v>4</v>
      </c>
      <c r="C7" s="1216" t="s">
        <v>1160</v>
      </c>
    </row>
    <row r="8" spans="1:3">
      <c r="A8" s="175"/>
      <c r="B8" s="824"/>
      <c r="C8" s="1096"/>
    </row>
    <row r="9" spans="1:3">
      <c r="A9" s="175"/>
      <c r="B9" s="824"/>
      <c r="C9" s="1106"/>
    </row>
    <row r="10" spans="1:3">
      <c r="A10" s="175"/>
      <c r="B10" s="824"/>
      <c r="C10" s="1106"/>
    </row>
    <row r="11" spans="1:3">
      <c r="A11" s="175"/>
      <c r="B11" s="824"/>
      <c r="C11" s="1106"/>
    </row>
    <row r="12" spans="1:3">
      <c r="A12" s="172"/>
      <c r="B12" s="824"/>
      <c r="C12" s="179"/>
    </row>
    <row r="13" spans="1:3">
      <c r="A13" s="172"/>
      <c r="B13" s="824"/>
      <c r="C13" s="179"/>
    </row>
    <row r="14" spans="1:3">
      <c r="A14" s="172"/>
      <c r="B14" s="824"/>
      <c r="C14" s="179"/>
    </row>
    <row r="15" spans="1:3">
      <c r="A15" s="172"/>
      <c r="B15" s="824"/>
      <c r="C15" s="179"/>
    </row>
    <row r="16" spans="1:3">
      <c r="A16" s="172"/>
      <c r="B16" s="824"/>
      <c r="C16" s="179"/>
    </row>
    <row r="17" spans="1:3" ht="14.25" thickBot="1">
      <c r="A17" s="176"/>
      <c r="B17" s="825"/>
      <c r="C17" s="180"/>
    </row>
    <row r="18" spans="1:3" ht="14.25" thickBot="1">
      <c r="A18" s="177"/>
      <c r="B18" s="826">
        <f>MAX(B2:B17)</f>
        <v>4</v>
      </c>
      <c r="C18" s="178"/>
    </row>
  </sheetData>
  <sheetProtection algorithmName="SHA-512" hashValue="XVvBHfS5jWYLvujRD1AzNWeOra/Wh9lWTRMR9BNEGdJdyX2dP9ttHKuge2dBcuyFpOYdIyw9BkrTwF8LnL315g==" saltValue="KuYAkf8GLjM/6resqv8QfA==" spinCount="100000" sheet="1" objects="1" scenarios="1"/>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L83"/>
  <sheetViews>
    <sheetView workbookViewId="0">
      <selection activeCell="A5" sqref="A5"/>
    </sheetView>
  </sheetViews>
  <sheetFormatPr defaultColWidth="9" defaultRowHeight="13.5"/>
  <cols>
    <col min="1" max="4" width="10.625" style="64" customWidth="1"/>
    <col min="5" max="5" width="14.5" style="64" customWidth="1"/>
    <col min="6" max="10" width="10.625" style="64" customWidth="1"/>
    <col min="11" max="11" width="10.625" customWidth="1"/>
    <col min="12" max="16384" width="9" style="64"/>
  </cols>
  <sheetData>
    <row r="1" spans="1:12" ht="28.5">
      <c r="A1" s="61" t="s">
        <v>385</v>
      </c>
      <c r="B1" s="61"/>
      <c r="C1" s="62"/>
      <c r="D1" s="62"/>
      <c r="E1" s="62"/>
      <c r="F1" s="62"/>
      <c r="G1" s="62"/>
      <c r="H1" s="63"/>
      <c r="I1" s="63"/>
      <c r="J1" s="63"/>
    </row>
    <row r="2" spans="1:12" ht="28.5">
      <c r="A2" s="65" t="s">
        <v>386</v>
      </c>
      <c r="B2" s="61"/>
      <c r="C2" s="62"/>
      <c r="D2" s="62"/>
      <c r="E2" s="62"/>
      <c r="F2" s="62"/>
      <c r="G2" s="62"/>
      <c r="H2" s="63"/>
      <c r="I2" s="63"/>
      <c r="J2" s="63"/>
    </row>
    <row r="3" spans="1:12">
      <c r="A3" s="1241">
        <v>2022</v>
      </c>
      <c r="B3" s="1242"/>
      <c r="C3" s="1239">
        <f>A3+1</f>
        <v>2023</v>
      </c>
      <c r="D3" s="1240"/>
      <c r="E3" s="1239">
        <f>C3+1</f>
        <v>2024</v>
      </c>
      <c r="F3" s="1240"/>
      <c r="G3" s="1239">
        <f>E3+1</f>
        <v>2025</v>
      </c>
      <c r="H3" s="1240"/>
      <c r="I3" s="1239">
        <f>G3+1</f>
        <v>2026</v>
      </c>
      <c r="J3" s="1240"/>
      <c r="K3" s="1239">
        <f>I3+1</f>
        <v>2027</v>
      </c>
      <c r="L3" s="1240"/>
    </row>
    <row r="4" spans="1:12">
      <c r="A4" s="66" t="s">
        <v>387</v>
      </c>
      <c r="B4" s="67" t="s">
        <v>388</v>
      </c>
      <c r="C4" s="68" t="str">
        <f>A4</f>
        <v>日付</v>
      </c>
      <c r="D4" s="69" t="str">
        <f>B4</f>
        <v>祝日名</v>
      </c>
      <c r="E4" s="68" t="str">
        <f t="shared" ref="E4:L4" si="0">C4</f>
        <v>日付</v>
      </c>
      <c r="F4" s="69" t="str">
        <f t="shared" si="0"/>
        <v>祝日名</v>
      </c>
      <c r="G4" s="68" t="str">
        <f t="shared" si="0"/>
        <v>日付</v>
      </c>
      <c r="H4" s="69" t="str">
        <f t="shared" si="0"/>
        <v>祝日名</v>
      </c>
      <c r="I4" s="68" t="str">
        <f t="shared" si="0"/>
        <v>日付</v>
      </c>
      <c r="J4" s="69" t="str">
        <f t="shared" si="0"/>
        <v>祝日名</v>
      </c>
      <c r="K4" s="68" t="str">
        <f t="shared" si="0"/>
        <v>日付</v>
      </c>
      <c r="L4" s="69" t="str">
        <f t="shared" si="0"/>
        <v>祝日名</v>
      </c>
    </row>
    <row r="5" spans="1:12">
      <c r="A5" s="70">
        <v>44562</v>
      </c>
      <c r="B5" s="71" t="s">
        <v>389</v>
      </c>
      <c r="C5" s="70">
        <v>44927</v>
      </c>
      <c r="D5" s="71" t="s">
        <v>389</v>
      </c>
      <c r="E5" s="822">
        <v>45292</v>
      </c>
      <c r="F5" s="823" t="s">
        <v>389</v>
      </c>
      <c r="G5" s="822">
        <v>45658</v>
      </c>
      <c r="H5" s="823" t="s">
        <v>389</v>
      </c>
      <c r="I5" s="822">
        <v>46023</v>
      </c>
      <c r="J5" s="823" t="s">
        <v>389</v>
      </c>
      <c r="K5" s="70"/>
      <c r="L5" s="71"/>
    </row>
    <row r="6" spans="1:12">
      <c r="A6" s="70">
        <v>44571</v>
      </c>
      <c r="B6" s="71" t="s">
        <v>390</v>
      </c>
      <c r="C6" s="70">
        <v>44928</v>
      </c>
      <c r="D6" s="71" t="s">
        <v>872</v>
      </c>
      <c r="E6" s="822">
        <v>45299</v>
      </c>
      <c r="F6" s="823" t="s">
        <v>390</v>
      </c>
      <c r="G6" s="822">
        <v>45670</v>
      </c>
      <c r="H6" s="823" t="s">
        <v>390</v>
      </c>
      <c r="I6" s="822">
        <v>46025</v>
      </c>
      <c r="J6" s="823" t="s">
        <v>1137</v>
      </c>
      <c r="K6" s="70"/>
      <c r="L6" s="71"/>
    </row>
    <row r="7" spans="1:12">
      <c r="A7" s="70">
        <v>44603</v>
      </c>
      <c r="B7" s="71" t="s">
        <v>391</v>
      </c>
      <c r="C7" s="70">
        <v>44935</v>
      </c>
      <c r="D7" s="71" t="s">
        <v>390</v>
      </c>
      <c r="E7" s="822">
        <v>45333</v>
      </c>
      <c r="F7" s="823" t="s">
        <v>391</v>
      </c>
      <c r="G7" s="822">
        <v>45699</v>
      </c>
      <c r="H7" s="823" t="s">
        <v>391</v>
      </c>
      <c r="I7" s="822">
        <v>46034</v>
      </c>
      <c r="J7" s="823" t="s">
        <v>390</v>
      </c>
      <c r="K7" s="70"/>
      <c r="L7" s="71"/>
    </row>
    <row r="8" spans="1:12">
      <c r="A8" s="70">
        <v>44615</v>
      </c>
      <c r="B8" s="71" t="s">
        <v>393</v>
      </c>
      <c r="C8" s="70">
        <v>44968</v>
      </c>
      <c r="D8" s="71" t="s">
        <v>391</v>
      </c>
      <c r="E8" s="822">
        <v>45334</v>
      </c>
      <c r="F8" s="823" t="s">
        <v>873</v>
      </c>
      <c r="G8" s="822">
        <v>45711</v>
      </c>
      <c r="H8" s="823" t="s">
        <v>393</v>
      </c>
      <c r="I8" s="822">
        <v>46064</v>
      </c>
      <c r="J8" s="823" t="s">
        <v>391</v>
      </c>
      <c r="K8" s="70"/>
      <c r="L8" s="71"/>
    </row>
    <row r="9" spans="1:12">
      <c r="A9" s="70">
        <v>44641</v>
      </c>
      <c r="B9" s="71" t="s">
        <v>392</v>
      </c>
      <c r="C9" s="70">
        <v>44980</v>
      </c>
      <c r="D9" s="71" t="s">
        <v>393</v>
      </c>
      <c r="E9" s="822">
        <v>45345</v>
      </c>
      <c r="F9" s="823" t="s">
        <v>393</v>
      </c>
      <c r="G9" s="822">
        <v>45712</v>
      </c>
      <c r="H9" s="823" t="s">
        <v>874</v>
      </c>
      <c r="I9" s="822">
        <v>46076</v>
      </c>
      <c r="J9" s="823" t="s">
        <v>393</v>
      </c>
      <c r="K9" s="70"/>
      <c r="L9" s="71"/>
    </row>
    <row r="10" spans="1:12">
      <c r="A10" s="70">
        <v>44680</v>
      </c>
      <c r="B10" s="71" t="s">
        <v>394</v>
      </c>
      <c r="C10" s="70">
        <v>45006</v>
      </c>
      <c r="D10" s="71" t="s">
        <v>392</v>
      </c>
      <c r="E10" s="822">
        <v>45371</v>
      </c>
      <c r="F10" s="823" t="s">
        <v>392</v>
      </c>
      <c r="G10" s="822">
        <v>45736</v>
      </c>
      <c r="H10" s="823" t="s">
        <v>392</v>
      </c>
      <c r="I10" s="822">
        <v>46101</v>
      </c>
      <c r="J10" s="823" t="s">
        <v>392</v>
      </c>
      <c r="K10" s="70"/>
      <c r="L10" s="71"/>
    </row>
    <row r="11" spans="1:12">
      <c r="A11" s="70">
        <v>44684</v>
      </c>
      <c r="B11" s="71" t="s">
        <v>395</v>
      </c>
      <c r="C11" s="70">
        <v>45045</v>
      </c>
      <c r="D11" s="71" t="s">
        <v>394</v>
      </c>
      <c r="E11" s="822">
        <v>45411</v>
      </c>
      <c r="F11" s="823" t="s">
        <v>394</v>
      </c>
      <c r="G11" s="822">
        <v>45776</v>
      </c>
      <c r="H11" s="823" t="s">
        <v>394</v>
      </c>
      <c r="I11" s="822">
        <v>46141</v>
      </c>
      <c r="J11" s="823" t="s">
        <v>394</v>
      </c>
      <c r="K11" s="70"/>
      <c r="L11" s="71"/>
    </row>
    <row r="12" spans="1:12">
      <c r="A12" s="70">
        <v>44685</v>
      </c>
      <c r="B12" s="71" t="s">
        <v>396</v>
      </c>
      <c r="C12" s="70">
        <v>45049</v>
      </c>
      <c r="D12" s="71" t="s">
        <v>395</v>
      </c>
      <c r="E12" s="822">
        <v>45415</v>
      </c>
      <c r="F12" s="823" t="s">
        <v>395</v>
      </c>
      <c r="G12" s="822">
        <v>45780</v>
      </c>
      <c r="H12" s="823" t="s">
        <v>395</v>
      </c>
      <c r="I12" s="822">
        <v>46145</v>
      </c>
      <c r="J12" s="823" t="s">
        <v>395</v>
      </c>
      <c r="K12" s="70"/>
      <c r="L12" s="71"/>
    </row>
    <row r="13" spans="1:12">
      <c r="A13" s="70">
        <v>44686</v>
      </c>
      <c r="B13" s="71" t="s">
        <v>397</v>
      </c>
      <c r="C13" s="70">
        <v>45050</v>
      </c>
      <c r="D13" s="71" t="s">
        <v>396</v>
      </c>
      <c r="E13" s="822">
        <v>45416</v>
      </c>
      <c r="F13" s="823" t="s">
        <v>396</v>
      </c>
      <c r="G13" s="822">
        <v>45781</v>
      </c>
      <c r="H13" s="823" t="s">
        <v>396</v>
      </c>
      <c r="I13" s="822">
        <v>46146</v>
      </c>
      <c r="J13" s="823" t="s">
        <v>396</v>
      </c>
      <c r="K13" s="70"/>
      <c r="L13" s="71"/>
    </row>
    <row r="14" spans="1:12">
      <c r="A14" s="70">
        <v>44760</v>
      </c>
      <c r="B14" s="71" t="s">
        <v>398</v>
      </c>
      <c r="C14" s="70">
        <v>45051</v>
      </c>
      <c r="D14" s="71" t="s">
        <v>397</v>
      </c>
      <c r="E14" s="822">
        <v>45417</v>
      </c>
      <c r="F14" s="823" t="s">
        <v>397</v>
      </c>
      <c r="G14" s="822">
        <v>45782</v>
      </c>
      <c r="H14" s="823" t="s">
        <v>397</v>
      </c>
      <c r="I14" s="822">
        <v>46147</v>
      </c>
      <c r="J14" s="823" t="s">
        <v>397</v>
      </c>
      <c r="K14" s="70"/>
      <c r="L14" s="71"/>
    </row>
    <row r="15" spans="1:12">
      <c r="A15" s="70">
        <v>44784</v>
      </c>
      <c r="B15" s="71" t="s">
        <v>399</v>
      </c>
      <c r="C15" s="70">
        <v>45124</v>
      </c>
      <c r="D15" s="71" t="s">
        <v>398</v>
      </c>
      <c r="E15" s="822">
        <v>45418</v>
      </c>
      <c r="F15" s="823" t="s">
        <v>875</v>
      </c>
      <c r="G15" s="822">
        <v>45783</v>
      </c>
      <c r="H15" s="823" t="s">
        <v>876</v>
      </c>
      <c r="I15" s="822">
        <v>46148</v>
      </c>
      <c r="J15" s="823" t="s">
        <v>1138</v>
      </c>
      <c r="K15" s="70"/>
      <c r="L15" s="71"/>
    </row>
    <row r="16" spans="1:12">
      <c r="A16" s="70">
        <v>44823</v>
      </c>
      <c r="B16" s="71" t="s">
        <v>773</v>
      </c>
      <c r="C16" s="70">
        <v>45149</v>
      </c>
      <c r="D16" s="71" t="s">
        <v>399</v>
      </c>
      <c r="E16" s="822">
        <v>45488</v>
      </c>
      <c r="F16" s="823" t="s">
        <v>877</v>
      </c>
      <c r="G16" s="822">
        <v>45859</v>
      </c>
      <c r="H16" s="823" t="s">
        <v>877</v>
      </c>
      <c r="I16" s="822">
        <v>46223</v>
      </c>
      <c r="J16" s="823" t="s">
        <v>877</v>
      </c>
      <c r="K16" s="70"/>
      <c r="L16" s="71"/>
    </row>
    <row r="17" spans="1:12">
      <c r="A17" s="70">
        <v>44827</v>
      </c>
      <c r="B17" s="71" t="s">
        <v>402</v>
      </c>
      <c r="C17" s="70">
        <v>45187</v>
      </c>
      <c r="D17" s="71" t="s">
        <v>400</v>
      </c>
      <c r="E17" s="822">
        <v>45515</v>
      </c>
      <c r="F17" s="823" t="s">
        <v>878</v>
      </c>
      <c r="G17" s="822">
        <v>45880</v>
      </c>
      <c r="H17" s="823" t="s">
        <v>878</v>
      </c>
      <c r="I17" s="822">
        <v>46245</v>
      </c>
      <c r="J17" s="823" t="s">
        <v>878</v>
      </c>
      <c r="K17" s="70"/>
      <c r="L17" s="71"/>
    </row>
    <row r="18" spans="1:12">
      <c r="A18" s="70">
        <v>44844</v>
      </c>
      <c r="B18" s="71" t="s">
        <v>401</v>
      </c>
      <c r="C18" s="70">
        <v>45192</v>
      </c>
      <c r="D18" s="71" t="s">
        <v>402</v>
      </c>
      <c r="E18" s="822">
        <v>45516</v>
      </c>
      <c r="F18" s="823" t="s">
        <v>879</v>
      </c>
      <c r="G18" s="822">
        <v>45915</v>
      </c>
      <c r="H18" s="823" t="s">
        <v>773</v>
      </c>
      <c r="I18" s="822">
        <v>46286</v>
      </c>
      <c r="J18" s="823" t="s">
        <v>773</v>
      </c>
      <c r="K18" s="70"/>
      <c r="L18" s="71"/>
    </row>
    <row r="19" spans="1:12">
      <c r="A19" s="70">
        <v>44868</v>
      </c>
      <c r="B19" s="71" t="s">
        <v>403</v>
      </c>
      <c r="C19" s="70">
        <v>45208</v>
      </c>
      <c r="D19" s="71" t="s">
        <v>401</v>
      </c>
      <c r="E19" s="822">
        <v>45551</v>
      </c>
      <c r="F19" s="823" t="s">
        <v>773</v>
      </c>
      <c r="G19" s="822">
        <v>45923</v>
      </c>
      <c r="H19" s="823" t="s">
        <v>880</v>
      </c>
      <c r="I19" s="822">
        <v>46287</v>
      </c>
      <c r="J19" s="823" t="s">
        <v>1139</v>
      </c>
      <c r="K19" s="70"/>
      <c r="L19" s="71"/>
    </row>
    <row r="20" spans="1:12">
      <c r="A20" s="70">
        <v>44888</v>
      </c>
      <c r="B20" s="71" t="s">
        <v>404</v>
      </c>
      <c r="C20" s="70">
        <v>45233</v>
      </c>
      <c r="D20" s="71" t="s">
        <v>403</v>
      </c>
      <c r="E20" s="822">
        <v>45557</v>
      </c>
      <c r="F20" s="823" t="s">
        <v>880</v>
      </c>
      <c r="G20" s="822">
        <v>45943</v>
      </c>
      <c r="H20" s="823" t="s">
        <v>401</v>
      </c>
      <c r="I20" s="822">
        <v>46288</v>
      </c>
      <c r="J20" s="823" t="s">
        <v>880</v>
      </c>
      <c r="K20" s="70"/>
      <c r="L20" s="71"/>
    </row>
    <row r="21" spans="1:12">
      <c r="A21" s="1108">
        <v>44926</v>
      </c>
      <c r="B21" s="1109" t="s">
        <v>1018</v>
      </c>
      <c r="C21" s="70">
        <v>45253</v>
      </c>
      <c r="D21" s="71" t="s">
        <v>404</v>
      </c>
      <c r="E21" s="822">
        <v>45558</v>
      </c>
      <c r="F21" s="823" t="s">
        <v>881</v>
      </c>
      <c r="G21" s="822">
        <v>45964</v>
      </c>
      <c r="H21" s="823" t="s">
        <v>403</v>
      </c>
      <c r="I21" s="822">
        <v>46307</v>
      </c>
      <c r="J21" s="823" t="s">
        <v>401</v>
      </c>
      <c r="K21" s="70"/>
      <c r="L21" s="71"/>
    </row>
    <row r="22" spans="1:12">
      <c r="A22" s="70"/>
      <c r="B22" s="71"/>
      <c r="C22" s="1108">
        <v>45290</v>
      </c>
      <c r="D22" s="1109" t="s">
        <v>1018</v>
      </c>
      <c r="E22" s="822">
        <v>45579</v>
      </c>
      <c r="F22" s="823" t="s">
        <v>882</v>
      </c>
      <c r="G22" s="822">
        <v>45984</v>
      </c>
      <c r="H22" s="823" t="s">
        <v>404</v>
      </c>
      <c r="I22" s="822">
        <v>46329</v>
      </c>
      <c r="J22" s="823" t="s">
        <v>403</v>
      </c>
      <c r="K22" s="70"/>
      <c r="L22" s="71"/>
    </row>
    <row r="23" spans="1:12">
      <c r="A23" s="70"/>
      <c r="B23" s="71"/>
      <c r="C23" s="70"/>
      <c r="D23" s="71"/>
      <c r="E23" s="822">
        <v>45599</v>
      </c>
      <c r="F23" s="823" t="s">
        <v>883</v>
      </c>
      <c r="G23" s="822">
        <v>45985</v>
      </c>
      <c r="H23" s="823" t="s">
        <v>884</v>
      </c>
      <c r="I23" s="822">
        <v>46349</v>
      </c>
      <c r="J23" s="823" t="s">
        <v>404</v>
      </c>
      <c r="K23" s="70"/>
      <c r="L23" s="71"/>
    </row>
    <row r="24" spans="1:12">
      <c r="A24" s="70"/>
      <c r="B24" s="71"/>
      <c r="C24" s="70"/>
      <c r="D24" s="71"/>
      <c r="E24" s="822">
        <v>45600</v>
      </c>
      <c r="F24" s="823" t="s">
        <v>885</v>
      </c>
      <c r="G24" s="822"/>
      <c r="H24" s="823"/>
      <c r="I24" s="822"/>
      <c r="J24" s="823"/>
      <c r="K24" s="70"/>
      <c r="L24" s="71"/>
    </row>
    <row r="25" spans="1:12">
      <c r="A25" s="70"/>
      <c r="B25" s="71"/>
      <c r="C25" s="70"/>
      <c r="D25" s="71"/>
      <c r="E25" s="822">
        <v>45619</v>
      </c>
      <c r="F25" s="823" t="s">
        <v>886</v>
      </c>
      <c r="G25" s="822"/>
      <c r="H25" s="823"/>
      <c r="I25" s="822"/>
      <c r="J25" s="823"/>
      <c r="K25" s="70"/>
      <c r="L25" s="71"/>
    </row>
    <row r="26" spans="1:12">
      <c r="A26" s="70"/>
      <c r="B26" s="71"/>
      <c r="C26" s="70"/>
      <c r="D26" s="71"/>
      <c r="E26" s="70"/>
      <c r="F26" s="71"/>
      <c r="G26" s="70"/>
      <c r="H26" s="71"/>
      <c r="I26" s="70"/>
      <c r="J26" s="71"/>
      <c r="K26" s="70"/>
      <c r="L26" s="71"/>
    </row>
    <row r="27" spans="1:12">
      <c r="A27" s="70"/>
      <c r="B27" s="71"/>
      <c r="C27" s="70"/>
      <c r="D27" s="71"/>
      <c r="E27" s="70"/>
      <c r="F27" s="71"/>
      <c r="G27" s="70"/>
      <c r="H27" s="71"/>
      <c r="I27" s="70"/>
      <c r="J27" s="71"/>
      <c r="K27" s="70"/>
      <c r="L27" s="71"/>
    </row>
    <row r="28" spans="1:12">
      <c r="A28" s="70"/>
      <c r="B28" s="71"/>
      <c r="C28" s="70"/>
      <c r="D28" s="71"/>
      <c r="E28" s="70"/>
      <c r="F28" s="71"/>
      <c r="G28" s="70"/>
      <c r="H28" s="71"/>
      <c r="I28" s="70"/>
      <c r="J28" s="71"/>
      <c r="K28" s="70"/>
      <c r="L28" s="71"/>
    </row>
    <row r="29" spans="1:12">
      <c r="A29" s="70"/>
      <c r="B29" s="71"/>
      <c r="C29" s="70"/>
      <c r="D29" s="71"/>
      <c r="E29" s="70"/>
      <c r="F29" s="71"/>
      <c r="G29" s="70"/>
      <c r="H29" s="71"/>
      <c r="I29" s="70"/>
      <c r="J29" s="71"/>
      <c r="K29" s="70"/>
      <c r="L29" s="71"/>
    </row>
    <row r="30" spans="1:12">
      <c r="A30" s="70"/>
      <c r="B30" s="71"/>
      <c r="C30" s="70"/>
      <c r="D30" s="71"/>
      <c r="E30" s="70"/>
      <c r="F30" s="71"/>
      <c r="G30" s="70"/>
      <c r="H30" s="71"/>
      <c r="I30" s="70"/>
      <c r="J30" s="71"/>
      <c r="K30" s="70"/>
      <c r="L30" s="71"/>
    </row>
    <row r="31" spans="1:12">
      <c r="A31" s="70"/>
      <c r="B31" s="71"/>
      <c r="C31" s="70"/>
      <c r="D31" s="71"/>
      <c r="E31" s="70"/>
      <c r="F31" s="71"/>
      <c r="G31" s="70"/>
      <c r="H31" s="71"/>
      <c r="I31" s="70"/>
      <c r="J31" s="71"/>
      <c r="K31" s="70"/>
      <c r="L31" s="71"/>
    </row>
    <row r="32" spans="1:12">
      <c r="A32" s="70"/>
      <c r="B32" s="71"/>
      <c r="C32" s="70"/>
      <c r="D32" s="71"/>
      <c r="E32" s="70"/>
      <c r="F32" s="71"/>
      <c r="G32" s="70"/>
      <c r="H32" s="71"/>
      <c r="I32" s="70"/>
      <c r="J32" s="71"/>
      <c r="K32" s="70"/>
      <c r="L32" s="71"/>
    </row>
    <row r="34" spans="3:3">
      <c r="C34" s="72"/>
    </row>
    <row r="35" spans="3:3">
      <c r="C35" s="72"/>
    </row>
    <row r="36" spans="3:3">
      <c r="C36" s="72"/>
    </row>
    <row r="37" spans="3:3">
      <c r="C37" s="72"/>
    </row>
    <row r="38" spans="3:3">
      <c r="C38" s="72"/>
    </row>
    <row r="39" spans="3:3">
      <c r="C39" s="72"/>
    </row>
    <row r="40" spans="3:3">
      <c r="C40" s="72"/>
    </row>
    <row r="41" spans="3:3">
      <c r="C41" s="72"/>
    </row>
    <row r="42" spans="3:3">
      <c r="C42" s="72"/>
    </row>
    <row r="43" spans="3:3">
      <c r="C43" s="72"/>
    </row>
    <row r="44" spans="3:3">
      <c r="C44" s="72"/>
    </row>
    <row r="45" spans="3:3">
      <c r="C45" s="72"/>
    </row>
    <row r="46" spans="3:3">
      <c r="C46" s="72"/>
    </row>
    <row r="47" spans="3:3">
      <c r="C47" s="72"/>
    </row>
    <row r="48" spans="3:3">
      <c r="C48" s="72"/>
    </row>
    <row r="49" spans="3:3">
      <c r="C49" s="72"/>
    </row>
    <row r="50" spans="3:3">
      <c r="C50" s="72"/>
    </row>
    <row r="51" spans="3:3">
      <c r="C51" s="72"/>
    </row>
    <row r="52" spans="3:3">
      <c r="C52" s="72"/>
    </row>
    <row r="53" spans="3:3">
      <c r="C53" s="72"/>
    </row>
    <row r="54" spans="3:3">
      <c r="C54" s="72"/>
    </row>
    <row r="55" spans="3:3">
      <c r="C55" s="72"/>
    </row>
    <row r="56" spans="3:3">
      <c r="C56" s="72"/>
    </row>
    <row r="57" spans="3:3">
      <c r="C57" s="72"/>
    </row>
    <row r="58" spans="3:3">
      <c r="C58" s="72"/>
    </row>
    <row r="59" spans="3:3">
      <c r="C59" s="72"/>
    </row>
    <row r="60" spans="3:3">
      <c r="C60" s="72"/>
    </row>
    <row r="61" spans="3:3">
      <c r="C61" s="72"/>
    </row>
    <row r="62" spans="3:3">
      <c r="C62" s="72"/>
    </row>
    <row r="63" spans="3:3">
      <c r="C63" s="72"/>
    </row>
    <row r="64" spans="3:3">
      <c r="C64" s="72"/>
    </row>
    <row r="65" spans="3:3">
      <c r="C65" s="72"/>
    </row>
    <row r="66" spans="3:3">
      <c r="C66" s="72"/>
    </row>
    <row r="67" spans="3:3">
      <c r="C67" s="72"/>
    </row>
    <row r="68" spans="3:3">
      <c r="C68" s="72"/>
    </row>
    <row r="69" spans="3:3">
      <c r="C69" s="72"/>
    </row>
    <row r="70" spans="3:3">
      <c r="C70" s="72"/>
    </row>
    <row r="71" spans="3:3">
      <c r="C71" s="72"/>
    </row>
    <row r="72" spans="3:3">
      <c r="C72" s="72"/>
    </row>
    <row r="73" spans="3:3">
      <c r="C73" s="72"/>
    </row>
    <row r="74" spans="3:3">
      <c r="C74" s="72"/>
    </row>
    <row r="75" spans="3:3">
      <c r="C75" s="72"/>
    </row>
    <row r="76" spans="3:3">
      <c r="C76" s="72"/>
    </row>
    <row r="77" spans="3:3">
      <c r="C77" s="72"/>
    </row>
    <row r="78" spans="3:3">
      <c r="C78" s="72"/>
    </row>
    <row r="79" spans="3:3">
      <c r="C79" s="72"/>
    </row>
    <row r="80" spans="3:3">
      <c r="C80" s="72"/>
    </row>
    <row r="81" spans="3:3">
      <c r="C81" s="72"/>
    </row>
    <row r="82" spans="3:3">
      <c r="C82" s="72"/>
    </row>
    <row r="83" spans="3:3">
      <c r="C83" s="72"/>
    </row>
  </sheetData>
  <sheetProtection algorithmName="SHA-512" hashValue="hp6CIYgKx+8mPlgYsT+HvwSxixdipSMk1Sq0FFJrBfYzkAqE4UvU8HKJZEnHFiNHYDMJmFJLDMlYymQvUxKRDw==" saltValue="9/sHcEpfSVON4/xEboahmg==" spinCount="100000" sheet="1" objects="1" scenarios="1" selectLockedCells="1"/>
  <mergeCells count="6">
    <mergeCell ref="K3:L3"/>
    <mergeCell ref="A3:B3"/>
    <mergeCell ref="C3:D3"/>
    <mergeCell ref="E3:F3"/>
    <mergeCell ref="G3:H3"/>
    <mergeCell ref="I3:J3"/>
  </mergeCells>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B1:G47"/>
  <sheetViews>
    <sheetView showGridLines="0" tabSelected="1" view="pageBreakPreview" zoomScale="85" zoomScaleNormal="100" zoomScaleSheetLayoutView="85" workbookViewId="0"/>
  </sheetViews>
  <sheetFormatPr defaultRowHeight="24" customHeight="1"/>
  <cols>
    <col min="1" max="1" width="3.25" style="1112" customWidth="1"/>
    <col min="2" max="2" width="18.375" style="1112" customWidth="1"/>
    <col min="3" max="3" width="69.5" style="1123" customWidth="1"/>
    <col min="4" max="4" width="48.375" style="1112" customWidth="1"/>
    <col min="5" max="5" width="11.875" style="1112" customWidth="1"/>
    <col min="6" max="6" width="17.125" style="1112" customWidth="1"/>
    <col min="7" max="7" width="68.125" style="1112" customWidth="1"/>
    <col min="8" max="12" width="17.125" style="1112" customWidth="1"/>
    <col min="13" max="247" width="9" style="1112"/>
    <col min="248" max="248" width="30.5" style="1112" customWidth="1"/>
    <col min="249" max="249" width="43.75" style="1112" customWidth="1"/>
    <col min="250" max="252" width="9" style="1112"/>
    <col min="253" max="253" width="21.875" style="1112" customWidth="1"/>
    <col min="254" max="255" width="9" style="1112"/>
    <col min="256" max="257" width="9" style="1112" customWidth="1"/>
    <col min="258" max="503" width="9" style="1112"/>
    <col min="504" max="504" width="30.5" style="1112" customWidth="1"/>
    <col min="505" max="505" width="43.75" style="1112" customWidth="1"/>
    <col min="506" max="508" width="9" style="1112"/>
    <col min="509" max="509" width="21.875" style="1112" customWidth="1"/>
    <col min="510" max="511" width="9" style="1112"/>
    <col min="512" max="513" width="9" style="1112" customWidth="1"/>
    <col min="514" max="759" width="9" style="1112"/>
    <col min="760" max="760" width="30.5" style="1112" customWidth="1"/>
    <col min="761" max="761" width="43.75" style="1112" customWidth="1"/>
    <col min="762" max="764" width="9" style="1112"/>
    <col min="765" max="765" width="21.875" style="1112" customWidth="1"/>
    <col min="766" max="767" width="9" style="1112"/>
    <col min="768" max="769" width="9" style="1112" customWidth="1"/>
    <col min="770" max="1015" width="9" style="1112"/>
    <col min="1016" max="1016" width="30.5" style="1112" customWidth="1"/>
    <col min="1017" max="1017" width="43.75" style="1112" customWidth="1"/>
    <col min="1018" max="1020" width="9" style="1112"/>
    <col min="1021" max="1021" width="21.875" style="1112" customWidth="1"/>
    <col min="1022" max="1023" width="9" style="1112"/>
    <col min="1024" max="1025" width="9" style="1112" customWidth="1"/>
    <col min="1026" max="1271" width="9" style="1112"/>
    <col min="1272" max="1272" width="30.5" style="1112" customWidth="1"/>
    <col min="1273" max="1273" width="43.75" style="1112" customWidth="1"/>
    <col min="1274" max="1276" width="9" style="1112"/>
    <col min="1277" max="1277" width="21.875" style="1112" customWidth="1"/>
    <col min="1278" max="1279" width="9" style="1112"/>
    <col min="1280" max="1281" width="9" style="1112" customWidth="1"/>
    <col min="1282" max="1527" width="9" style="1112"/>
    <col min="1528" max="1528" width="30.5" style="1112" customWidth="1"/>
    <col min="1529" max="1529" width="43.75" style="1112" customWidth="1"/>
    <col min="1530" max="1532" width="9" style="1112"/>
    <col min="1533" max="1533" width="21.875" style="1112" customWidth="1"/>
    <col min="1534" max="1535" width="9" style="1112"/>
    <col min="1536" max="1537" width="9" style="1112" customWidth="1"/>
    <col min="1538" max="1783" width="9" style="1112"/>
    <col min="1784" max="1784" width="30.5" style="1112" customWidth="1"/>
    <col min="1785" max="1785" width="43.75" style="1112" customWidth="1"/>
    <col min="1786" max="1788" width="9" style="1112"/>
    <col min="1789" max="1789" width="21.875" style="1112" customWidth="1"/>
    <col min="1790" max="1791" width="9" style="1112"/>
    <col min="1792" max="1793" width="9" style="1112" customWidth="1"/>
    <col min="1794" max="2039" width="9" style="1112"/>
    <col min="2040" max="2040" width="30.5" style="1112" customWidth="1"/>
    <col min="2041" max="2041" width="43.75" style="1112" customWidth="1"/>
    <col min="2042" max="2044" width="9" style="1112"/>
    <col min="2045" max="2045" width="21.875" style="1112" customWidth="1"/>
    <col min="2046" max="2047" width="9" style="1112"/>
    <col min="2048" max="2049" width="9" style="1112" customWidth="1"/>
    <col min="2050" max="2295" width="9" style="1112"/>
    <col min="2296" max="2296" width="30.5" style="1112" customWidth="1"/>
    <col min="2297" max="2297" width="43.75" style="1112" customWidth="1"/>
    <col min="2298" max="2300" width="9" style="1112"/>
    <col min="2301" max="2301" width="21.875" style="1112" customWidth="1"/>
    <col min="2302" max="2303" width="9" style="1112"/>
    <col min="2304" max="2305" width="9" style="1112" customWidth="1"/>
    <col min="2306" max="2551" width="9" style="1112"/>
    <col min="2552" max="2552" width="30.5" style="1112" customWidth="1"/>
    <col min="2553" max="2553" width="43.75" style="1112" customWidth="1"/>
    <col min="2554" max="2556" width="9" style="1112"/>
    <col min="2557" max="2557" width="21.875" style="1112" customWidth="1"/>
    <col min="2558" max="2559" width="9" style="1112"/>
    <col min="2560" max="2561" width="9" style="1112" customWidth="1"/>
    <col min="2562" max="2807" width="9" style="1112"/>
    <col min="2808" max="2808" width="30.5" style="1112" customWidth="1"/>
    <col min="2809" max="2809" width="43.75" style="1112" customWidth="1"/>
    <col min="2810" max="2812" width="9" style="1112"/>
    <col min="2813" max="2813" width="21.875" style="1112" customWidth="1"/>
    <col min="2814" max="2815" width="9" style="1112"/>
    <col min="2816" max="2817" width="9" style="1112" customWidth="1"/>
    <col min="2818" max="3063" width="9" style="1112"/>
    <col min="3064" max="3064" width="30.5" style="1112" customWidth="1"/>
    <col min="3065" max="3065" width="43.75" style="1112" customWidth="1"/>
    <col min="3066" max="3068" width="9" style="1112"/>
    <col min="3069" max="3069" width="21.875" style="1112" customWidth="1"/>
    <col min="3070" max="3071" width="9" style="1112"/>
    <col min="3072" max="3073" width="9" style="1112" customWidth="1"/>
    <col min="3074" max="3319" width="9" style="1112"/>
    <col min="3320" max="3320" width="30.5" style="1112" customWidth="1"/>
    <col min="3321" max="3321" width="43.75" style="1112" customWidth="1"/>
    <col min="3322" max="3324" width="9" style="1112"/>
    <col min="3325" max="3325" width="21.875" style="1112" customWidth="1"/>
    <col min="3326" max="3327" width="9" style="1112"/>
    <col min="3328" max="3329" width="9" style="1112" customWidth="1"/>
    <col min="3330" max="3575" width="9" style="1112"/>
    <col min="3576" max="3576" width="30.5" style="1112" customWidth="1"/>
    <col min="3577" max="3577" width="43.75" style="1112" customWidth="1"/>
    <col min="3578" max="3580" width="9" style="1112"/>
    <col min="3581" max="3581" width="21.875" style="1112" customWidth="1"/>
    <col min="3582" max="3583" width="9" style="1112"/>
    <col min="3584" max="3585" width="9" style="1112" customWidth="1"/>
    <col min="3586" max="3831" width="9" style="1112"/>
    <col min="3832" max="3832" width="30.5" style="1112" customWidth="1"/>
    <col min="3833" max="3833" width="43.75" style="1112" customWidth="1"/>
    <col min="3834" max="3836" width="9" style="1112"/>
    <col min="3837" max="3837" width="21.875" style="1112" customWidth="1"/>
    <col min="3838" max="3839" width="9" style="1112"/>
    <col min="3840" max="3841" width="9" style="1112" customWidth="1"/>
    <col min="3842" max="4087" width="9" style="1112"/>
    <col min="4088" max="4088" width="30.5" style="1112" customWidth="1"/>
    <col min="4089" max="4089" width="43.75" style="1112" customWidth="1"/>
    <col min="4090" max="4092" width="9" style="1112"/>
    <col min="4093" max="4093" width="21.875" style="1112" customWidth="1"/>
    <col min="4094" max="4095" width="9" style="1112"/>
    <col min="4096" max="4097" width="9" style="1112" customWidth="1"/>
    <col min="4098" max="4343" width="9" style="1112"/>
    <col min="4344" max="4344" width="30.5" style="1112" customWidth="1"/>
    <col min="4345" max="4345" width="43.75" style="1112" customWidth="1"/>
    <col min="4346" max="4348" width="9" style="1112"/>
    <col min="4349" max="4349" width="21.875" style="1112" customWidth="1"/>
    <col min="4350" max="4351" width="9" style="1112"/>
    <col min="4352" max="4353" width="9" style="1112" customWidth="1"/>
    <col min="4354" max="4599" width="9" style="1112"/>
    <col min="4600" max="4600" width="30.5" style="1112" customWidth="1"/>
    <col min="4601" max="4601" width="43.75" style="1112" customWidth="1"/>
    <col min="4602" max="4604" width="9" style="1112"/>
    <col min="4605" max="4605" width="21.875" style="1112" customWidth="1"/>
    <col min="4606" max="4607" width="9" style="1112"/>
    <col min="4608" max="4609" width="9" style="1112" customWidth="1"/>
    <col min="4610" max="4855" width="9" style="1112"/>
    <col min="4856" max="4856" width="30.5" style="1112" customWidth="1"/>
    <col min="4857" max="4857" width="43.75" style="1112" customWidth="1"/>
    <col min="4858" max="4860" width="9" style="1112"/>
    <col min="4861" max="4861" width="21.875" style="1112" customWidth="1"/>
    <col min="4862" max="4863" width="9" style="1112"/>
    <col min="4864" max="4865" width="9" style="1112" customWidth="1"/>
    <col min="4866" max="5111" width="9" style="1112"/>
    <col min="5112" max="5112" width="30.5" style="1112" customWidth="1"/>
    <col min="5113" max="5113" width="43.75" style="1112" customWidth="1"/>
    <col min="5114" max="5116" width="9" style="1112"/>
    <col min="5117" max="5117" width="21.875" style="1112" customWidth="1"/>
    <col min="5118" max="5119" width="9" style="1112"/>
    <col min="5120" max="5121" width="9" style="1112" customWidth="1"/>
    <col min="5122" max="5367" width="9" style="1112"/>
    <col min="5368" max="5368" width="30.5" style="1112" customWidth="1"/>
    <col min="5369" max="5369" width="43.75" style="1112" customWidth="1"/>
    <col min="5370" max="5372" width="9" style="1112"/>
    <col min="5373" max="5373" width="21.875" style="1112" customWidth="1"/>
    <col min="5374" max="5375" width="9" style="1112"/>
    <col min="5376" max="5377" width="9" style="1112" customWidth="1"/>
    <col min="5378" max="5623" width="9" style="1112"/>
    <col min="5624" max="5624" width="30.5" style="1112" customWidth="1"/>
    <col min="5625" max="5625" width="43.75" style="1112" customWidth="1"/>
    <col min="5626" max="5628" width="9" style="1112"/>
    <col min="5629" max="5629" width="21.875" style="1112" customWidth="1"/>
    <col min="5630" max="5631" width="9" style="1112"/>
    <col min="5632" max="5633" width="9" style="1112" customWidth="1"/>
    <col min="5634" max="5879" width="9" style="1112"/>
    <col min="5880" max="5880" width="30.5" style="1112" customWidth="1"/>
    <col min="5881" max="5881" width="43.75" style="1112" customWidth="1"/>
    <col min="5882" max="5884" width="9" style="1112"/>
    <col min="5885" max="5885" width="21.875" style="1112" customWidth="1"/>
    <col min="5886" max="5887" width="9" style="1112"/>
    <col min="5888" max="5889" width="9" style="1112" customWidth="1"/>
    <col min="5890" max="6135" width="9" style="1112"/>
    <col min="6136" max="6136" width="30.5" style="1112" customWidth="1"/>
    <col min="6137" max="6137" width="43.75" style="1112" customWidth="1"/>
    <col min="6138" max="6140" width="9" style="1112"/>
    <col min="6141" max="6141" width="21.875" style="1112" customWidth="1"/>
    <col min="6142" max="6143" width="9" style="1112"/>
    <col min="6144" max="6145" width="9" style="1112" customWidth="1"/>
    <col min="6146" max="6391" width="9" style="1112"/>
    <col min="6392" max="6392" width="30.5" style="1112" customWidth="1"/>
    <col min="6393" max="6393" width="43.75" style="1112" customWidth="1"/>
    <col min="6394" max="6396" width="9" style="1112"/>
    <col min="6397" max="6397" width="21.875" style="1112" customWidth="1"/>
    <col min="6398" max="6399" width="9" style="1112"/>
    <col min="6400" max="6401" width="9" style="1112" customWidth="1"/>
    <col min="6402" max="6647" width="9" style="1112"/>
    <col min="6648" max="6648" width="30.5" style="1112" customWidth="1"/>
    <col min="6649" max="6649" width="43.75" style="1112" customWidth="1"/>
    <col min="6650" max="6652" width="9" style="1112"/>
    <col min="6653" max="6653" width="21.875" style="1112" customWidth="1"/>
    <col min="6654" max="6655" width="9" style="1112"/>
    <col min="6656" max="6657" width="9" style="1112" customWidth="1"/>
    <col min="6658" max="6903" width="9" style="1112"/>
    <col min="6904" max="6904" width="30.5" style="1112" customWidth="1"/>
    <col min="6905" max="6905" width="43.75" style="1112" customWidth="1"/>
    <col min="6906" max="6908" width="9" style="1112"/>
    <col min="6909" max="6909" width="21.875" style="1112" customWidth="1"/>
    <col min="6910" max="6911" width="9" style="1112"/>
    <col min="6912" max="6913" width="9" style="1112" customWidth="1"/>
    <col min="6914" max="7159" width="9" style="1112"/>
    <col min="7160" max="7160" width="30.5" style="1112" customWidth="1"/>
    <col min="7161" max="7161" width="43.75" style="1112" customWidth="1"/>
    <col min="7162" max="7164" width="9" style="1112"/>
    <col min="7165" max="7165" width="21.875" style="1112" customWidth="1"/>
    <col min="7166" max="7167" width="9" style="1112"/>
    <col min="7168" max="7169" width="9" style="1112" customWidth="1"/>
    <col min="7170" max="7415" width="9" style="1112"/>
    <col min="7416" max="7416" width="30.5" style="1112" customWidth="1"/>
    <col min="7417" max="7417" width="43.75" style="1112" customWidth="1"/>
    <col min="7418" max="7420" width="9" style="1112"/>
    <col min="7421" max="7421" width="21.875" style="1112" customWidth="1"/>
    <col min="7422" max="7423" width="9" style="1112"/>
    <col min="7424" max="7425" width="9" style="1112" customWidth="1"/>
    <col min="7426" max="7671" width="9" style="1112"/>
    <col min="7672" max="7672" width="30.5" style="1112" customWidth="1"/>
    <col min="7673" max="7673" width="43.75" style="1112" customWidth="1"/>
    <col min="7674" max="7676" width="9" style="1112"/>
    <col min="7677" max="7677" width="21.875" style="1112" customWidth="1"/>
    <col min="7678" max="7679" width="9" style="1112"/>
    <col min="7680" max="7681" width="9" style="1112" customWidth="1"/>
    <col min="7682" max="7927" width="9" style="1112"/>
    <col min="7928" max="7928" width="30.5" style="1112" customWidth="1"/>
    <col min="7929" max="7929" width="43.75" style="1112" customWidth="1"/>
    <col min="7930" max="7932" width="9" style="1112"/>
    <col min="7933" max="7933" width="21.875" style="1112" customWidth="1"/>
    <col min="7934" max="7935" width="9" style="1112"/>
    <col min="7936" max="7937" width="9" style="1112" customWidth="1"/>
    <col min="7938" max="8183" width="9" style="1112"/>
    <col min="8184" max="8184" width="30.5" style="1112" customWidth="1"/>
    <col min="8185" max="8185" width="43.75" style="1112" customWidth="1"/>
    <col min="8186" max="8188" width="9" style="1112"/>
    <col min="8189" max="8189" width="21.875" style="1112" customWidth="1"/>
    <col min="8190" max="8191" width="9" style="1112"/>
    <col min="8192" max="8193" width="9" style="1112" customWidth="1"/>
    <col min="8194" max="8439" width="9" style="1112"/>
    <col min="8440" max="8440" width="30.5" style="1112" customWidth="1"/>
    <col min="8441" max="8441" width="43.75" style="1112" customWidth="1"/>
    <col min="8442" max="8444" width="9" style="1112"/>
    <col min="8445" max="8445" width="21.875" style="1112" customWidth="1"/>
    <col min="8446" max="8447" width="9" style="1112"/>
    <col min="8448" max="8449" width="9" style="1112" customWidth="1"/>
    <col min="8450" max="8695" width="9" style="1112"/>
    <col min="8696" max="8696" width="30.5" style="1112" customWidth="1"/>
    <col min="8697" max="8697" width="43.75" style="1112" customWidth="1"/>
    <col min="8698" max="8700" width="9" style="1112"/>
    <col min="8701" max="8701" width="21.875" style="1112" customWidth="1"/>
    <col min="8702" max="8703" width="9" style="1112"/>
    <col min="8704" max="8705" width="9" style="1112" customWidth="1"/>
    <col min="8706" max="8951" width="9" style="1112"/>
    <col min="8952" max="8952" width="30.5" style="1112" customWidth="1"/>
    <col min="8953" max="8953" width="43.75" style="1112" customWidth="1"/>
    <col min="8954" max="8956" width="9" style="1112"/>
    <col min="8957" max="8957" width="21.875" style="1112" customWidth="1"/>
    <col min="8958" max="8959" width="9" style="1112"/>
    <col min="8960" max="8961" width="9" style="1112" customWidth="1"/>
    <col min="8962" max="9207" width="9" style="1112"/>
    <col min="9208" max="9208" width="30.5" style="1112" customWidth="1"/>
    <col min="9209" max="9209" width="43.75" style="1112" customWidth="1"/>
    <col min="9210" max="9212" width="9" style="1112"/>
    <col min="9213" max="9213" width="21.875" style="1112" customWidth="1"/>
    <col min="9214" max="9215" width="9" style="1112"/>
    <col min="9216" max="9217" width="9" style="1112" customWidth="1"/>
    <col min="9218" max="9463" width="9" style="1112"/>
    <col min="9464" max="9464" width="30.5" style="1112" customWidth="1"/>
    <col min="9465" max="9465" width="43.75" style="1112" customWidth="1"/>
    <col min="9466" max="9468" width="9" style="1112"/>
    <col min="9469" max="9469" width="21.875" style="1112" customWidth="1"/>
    <col min="9470" max="9471" width="9" style="1112"/>
    <col min="9472" max="9473" width="9" style="1112" customWidth="1"/>
    <col min="9474" max="9719" width="9" style="1112"/>
    <col min="9720" max="9720" width="30.5" style="1112" customWidth="1"/>
    <col min="9721" max="9721" width="43.75" style="1112" customWidth="1"/>
    <col min="9722" max="9724" width="9" style="1112"/>
    <col min="9725" max="9725" width="21.875" style="1112" customWidth="1"/>
    <col min="9726" max="9727" width="9" style="1112"/>
    <col min="9728" max="9729" width="9" style="1112" customWidth="1"/>
    <col min="9730" max="9975" width="9" style="1112"/>
    <col min="9976" max="9976" width="30.5" style="1112" customWidth="1"/>
    <col min="9977" max="9977" width="43.75" style="1112" customWidth="1"/>
    <col min="9978" max="9980" width="9" style="1112"/>
    <col min="9981" max="9981" width="21.875" style="1112" customWidth="1"/>
    <col min="9982" max="9983" width="9" style="1112"/>
    <col min="9984" max="9985" width="9" style="1112" customWidth="1"/>
    <col min="9986" max="10231" width="9" style="1112"/>
    <col min="10232" max="10232" width="30.5" style="1112" customWidth="1"/>
    <col min="10233" max="10233" width="43.75" style="1112" customWidth="1"/>
    <col min="10234" max="10236" width="9" style="1112"/>
    <col min="10237" max="10237" width="21.875" style="1112" customWidth="1"/>
    <col min="10238" max="10239" width="9" style="1112"/>
    <col min="10240" max="10241" width="9" style="1112" customWidth="1"/>
    <col min="10242" max="10487" width="9" style="1112"/>
    <col min="10488" max="10488" width="30.5" style="1112" customWidth="1"/>
    <col min="10489" max="10489" width="43.75" style="1112" customWidth="1"/>
    <col min="10490" max="10492" width="9" style="1112"/>
    <col min="10493" max="10493" width="21.875" style="1112" customWidth="1"/>
    <col min="10494" max="10495" width="9" style="1112"/>
    <col min="10496" max="10497" width="9" style="1112" customWidth="1"/>
    <col min="10498" max="10743" width="9" style="1112"/>
    <col min="10744" max="10744" width="30.5" style="1112" customWidth="1"/>
    <col min="10745" max="10745" width="43.75" style="1112" customWidth="1"/>
    <col min="10746" max="10748" width="9" style="1112"/>
    <col min="10749" max="10749" width="21.875" style="1112" customWidth="1"/>
    <col min="10750" max="10751" width="9" style="1112"/>
    <col min="10752" max="10753" width="9" style="1112" customWidth="1"/>
    <col min="10754" max="10999" width="9" style="1112"/>
    <col min="11000" max="11000" width="30.5" style="1112" customWidth="1"/>
    <col min="11001" max="11001" width="43.75" style="1112" customWidth="1"/>
    <col min="11002" max="11004" width="9" style="1112"/>
    <col min="11005" max="11005" width="21.875" style="1112" customWidth="1"/>
    <col min="11006" max="11007" width="9" style="1112"/>
    <col min="11008" max="11009" width="9" style="1112" customWidth="1"/>
    <col min="11010" max="11255" width="9" style="1112"/>
    <col min="11256" max="11256" width="30.5" style="1112" customWidth="1"/>
    <col min="11257" max="11257" width="43.75" style="1112" customWidth="1"/>
    <col min="11258" max="11260" width="9" style="1112"/>
    <col min="11261" max="11261" width="21.875" style="1112" customWidth="1"/>
    <col min="11262" max="11263" width="9" style="1112"/>
    <col min="11264" max="11265" width="9" style="1112" customWidth="1"/>
    <col min="11266" max="11511" width="9" style="1112"/>
    <col min="11512" max="11512" width="30.5" style="1112" customWidth="1"/>
    <col min="11513" max="11513" width="43.75" style="1112" customWidth="1"/>
    <col min="11514" max="11516" width="9" style="1112"/>
    <col min="11517" max="11517" width="21.875" style="1112" customWidth="1"/>
    <col min="11518" max="11519" width="9" style="1112"/>
    <col min="11520" max="11521" width="9" style="1112" customWidth="1"/>
    <col min="11522" max="11767" width="9" style="1112"/>
    <col min="11768" max="11768" width="30.5" style="1112" customWidth="1"/>
    <col min="11769" max="11769" width="43.75" style="1112" customWidth="1"/>
    <col min="11770" max="11772" width="9" style="1112"/>
    <col min="11773" max="11773" width="21.875" style="1112" customWidth="1"/>
    <col min="11774" max="11775" width="9" style="1112"/>
    <col min="11776" max="11777" width="9" style="1112" customWidth="1"/>
    <col min="11778" max="12023" width="9" style="1112"/>
    <col min="12024" max="12024" width="30.5" style="1112" customWidth="1"/>
    <col min="12025" max="12025" width="43.75" style="1112" customWidth="1"/>
    <col min="12026" max="12028" width="9" style="1112"/>
    <col min="12029" max="12029" width="21.875" style="1112" customWidth="1"/>
    <col min="12030" max="12031" width="9" style="1112"/>
    <col min="12032" max="12033" width="9" style="1112" customWidth="1"/>
    <col min="12034" max="12279" width="9" style="1112"/>
    <col min="12280" max="12280" width="30.5" style="1112" customWidth="1"/>
    <col min="12281" max="12281" width="43.75" style="1112" customWidth="1"/>
    <col min="12282" max="12284" width="9" style="1112"/>
    <col min="12285" max="12285" width="21.875" style="1112" customWidth="1"/>
    <col min="12286" max="12287" width="9" style="1112"/>
    <col min="12288" max="12289" width="9" style="1112" customWidth="1"/>
    <col min="12290" max="12535" width="9" style="1112"/>
    <col min="12536" max="12536" width="30.5" style="1112" customWidth="1"/>
    <col min="12537" max="12537" width="43.75" style="1112" customWidth="1"/>
    <col min="12538" max="12540" width="9" style="1112"/>
    <col min="12541" max="12541" width="21.875" style="1112" customWidth="1"/>
    <col min="12542" max="12543" width="9" style="1112"/>
    <col min="12544" max="12545" width="9" style="1112" customWidth="1"/>
    <col min="12546" max="12791" width="9" style="1112"/>
    <col min="12792" max="12792" width="30.5" style="1112" customWidth="1"/>
    <col min="12793" max="12793" width="43.75" style="1112" customWidth="1"/>
    <col min="12794" max="12796" width="9" style="1112"/>
    <col min="12797" max="12797" width="21.875" style="1112" customWidth="1"/>
    <col min="12798" max="12799" width="9" style="1112"/>
    <col min="12800" max="12801" width="9" style="1112" customWidth="1"/>
    <col min="12802" max="13047" width="9" style="1112"/>
    <col min="13048" max="13048" width="30.5" style="1112" customWidth="1"/>
    <col min="13049" max="13049" width="43.75" style="1112" customWidth="1"/>
    <col min="13050" max="13052" width="9" style="1112"/>
    <col min="13053" max="13053" width="21.875" style="1112" customWidth="1"/>
    <col min="13054" max="13055" width="9" style="1112"/>
    <col min="13056" max="13057" width="9" style="1112" customWidth="1"/>
    <col min="13058" max="13303" width="9" style="1112"/>
    <col min="13304" max="13304" width="30.5" style="1112" customWidth="1"/>
    <col min="13305" max="13305" width="43.75" style="1112" customWidth="1"/>
    <col min="13306" max="13308" width="9" style="1112"/>
    <col min="13309" max="13309" width="21.875" style="1112" customWidth="1"/>
    <col min="13310" max="13311" width="9" style="1112"/>
    <col min="13312" max="13313" width="9" style="1112" customWidth="1"/>
    <col min="13314" max="13559" width="9" style="1112"/>
    <col min="13560" max="13560" width="30.5" style="1112" customWidth="1"/>
    <col min="13561" max="13561" width="43.75" style="1112" customWidth="1"/>
    <col min="13562" max="13564" width="9" style="1112"/>
    <col min="13565" max="13565" width="21.875" style="1112" customWidth="1"/>
    <col min="13566" max="13567" width="9" style="1112"/>
    <col min="13568" max="13569" width="9" style="1112" customWidth="1"/>
    <col min="13570" max="13815" width="9" style="1112"/>
    <col min="13816" max="13816" width="30.5" style="1112" customWidth="1"/>
    <col min="13817" max="13817" width="43.75" style="1112" customWidth="1"/>
    <col min="13818" max="13820" width="9" style="1112"/>
    <col min="13821" max="13821" width="21.875" style="1112" customWidth="1"/>
    <col min="13822" max="13823" width="9" style="1112"/>
    <col min="13824" max="13825" width="9" style="1112" customWidth="1"/>
    <col min="13826" max="14071" width="9" style="1112"/>
    <col min="14072" max="14072" width="30.5" style="1112" customWidth="1"/>
    <col min="14073" max="14073" width="43.75" style="1112" customWidth="1"/>
    <col min="14074" max="14076" width="9" style="1112"/>
    <col min="14077" max="14077" width="21.875" style="1112" customWidth="1"/>
    <col min="14078" max="14079" width="9" style="1112"/>
    <col min="14080" max="14081" width="9" style="1112" customWidth="1"/>
    <col min="14082" max="14327" width="9" style="1112"/>
    <col min="14328" max="14328" width="30.5" style="1112" customWidth="1"/>
    <col min="14329" max="14329" width="43.75" style="1112" customWidth="1"/>
    <col min="14330" max="14332" width="9" style="1112"/>
    <col min="14333" max="14333" width="21.875" style="1112" customWidth="1"/>
    <col min="14334" max="14335" width="9" style="1112"/>
    <col min="14336" max="14337" width="9" style="1112" customWidth="1"/>
    <col min="14338" max="14583" width="9" style="1112"/>
    <col min="14584" max="14584" width="30.5" style="1112" customWidth="1"/>
    <col min="14585" max="14585" width="43.75" style="1112" customWidth="1"/>
    <col min="14586" max="14588" width="9" style="1112"/>
    <col min="14589" max="14589" width="21.875" style="1112" customWidth="1"/>
    <col min="14590" max="14591" width="9" style="1112"/>
    <col min="14592" max="14593" width="9" style="1112" customWidth="1"/>
    <col min="14594" max="14839" width="9" style="1112"/>
    <col min="14840" max="14840" width="30.5" style="1112" customWidth="1"/>
    <col min="14841" max="14841" width="43.75" style="1112" customWidth="1"/>
    <col min="14842" max="14844" width="9" style="1112"/>
    <col min="14845" max="14845" width="21.875" style="1112" customWidth="1"/>
    <col min="14846" max="14847" width="9" style="1112"/>
    <col min="14848" max="14849" width="9" style="1112" customWidth="1"/>
    <col min="14850" max="15095" width="9" style="1112"/>
    <col min="15096" max="15096" width="30.5" style="1112" customWidth="1"/>
    <col min="15097" max="15097" width="43.75" style="1112" customWidth="1"/>
    <col min="15098" max="15100" width="9" style="1112"/>
    <col min="15101" max="15101" width="21.875" style="1112" customWidth="1"/>
    <col min="15102" max="15103" width="9" style="1112"/>
    <col min="15104" max="15105" width="9" style="1112" customWidth="1"/>
    <col min="15106" max="15351" width="9" style="1112"/>
    <col min="15352" max="15352" width="30.5" style="1112" customWidth="1"/>
    <col min="15353" max="15353" width="43.75" style="1112" customWidth="1"/>
    <col min="15354" max="15356" width="9" style="1112"/>
    <col min="15357" max="15357" width="21.875" style="1112" customWidth="1"/>
    <col min="15358" max="15359" width="9" style="1112"/>
    <col min="15360" max="15361" width="9" style="1112" customWidth="1"/>
    <col min="15362" max="15607" width="9" style="1112"/>
    <col min="15608" max="15608" width="30.5" style="1112" customWidth="1"/>
    <col min="15609" max="15609" width="43.75" style="1112" customWidth="1"/>
    <col min="15610" max="15612" width="9" style="1112"/>
    <col min="15613" max="15613" width="21.875" style="1112" customWidth="1"/>
    <col min="15614" max="15615" width="9" style="1112"/>
    <col min="15616" max="15617" width="9" style="1112" customWidth="1"/>
    <col min="15618" max="15863" width="9" style="1112"/>
    <col min="15864" max="15864" width="30.5" style="1112" customWidth="1"/>
    <col min="15865" max="15865" width="43.75" style="1112" customWidth="1"/>
    <col min="15866" max="15868" width="9" style="1112"/>
    <col min="15869" max="15869" width="21.875" style="1112" customWidth="1"/>
    <col min="15870" max="15871" width="9" style="1112"/>
    <col min="15872" max="15873" width="9" style="1112" customWidth="1"/>
    <col min="15874" max="16119" width="9" style="1112"/>
    <col min="16120" max="16120" width="30.5" style="1112" customWidth="1"/>
    <col min="16121" max="16121" width="43.75" style="1112" customWidth="1"/>
    <col min="16122" max="16124" width="9" style="1112"/>
    <col min="16125" max="16125" width="21.875" style="1112" customWidth="1"/>
    <col min="16126" max="16127" width="9" style="1112"/>
    <col min="16128" max="16129" width="9" style="1112" customWidth="1"/>
    <col min="16130" max="16384" width="9" style="1112"/>
  </cols>
  <sheetData>
    <row r="1" spans="2:7" ht="22.5" customHeight="1">
      <c r="B1" s="1110"/>
      <c r="C1" s="1110"/>
      <c r="D1" s="1111"/>
      <c r="F1" s="1113"/>
      <c r="G1" s="1113"/>
    </row>
    <row r="2" spans="2:7" ht="18.75">
      <c r="B2" s="1114" t="s">
        <v>1020</v>
      </c>
      <c r="C2" s="1112"/>
      <c r="E2" s="1110"/>
      <c r="F2" s="1113"/>
      <c r="G2" s="1113"/>
    </row>
    <row r="3" spans="2:7" ht="18.75">
      <c r="B3" s="1113"/>
      <c r="C3" s="1113"/>
      <c r="D3" s="1115"/>
      <c r="E3" s="1110"/>
      <c r="F3" s="1113"/>
      <c r="G3" s="1113"/>
    </row>
    <row r="4" spans="2:7" ht="17.25">
      <c r="B4" s="1116" t="s">
        <v>1021</v>
      </c>
      <c r="C4" s="1117" t="s">
        <v>1022</v>
      </c>
      <c r="E4" s="1110"/>
      <c r="F4" s="1113"/>
      <c r="G4" s="1113"/>
    </row>
    <row r="5" spans="2:7" ht="17.25">
      <c r="B5" s="1118" t="s">
        <v>1023</v>
      </c>
      <c r="C5" s="1117" t="s">
        <v>1024</v>
      </c>
      <c r="E5" s="1110"/>
      <c r="F5" s="1113"/>
      <c r="G5" s="1113"/>
    </row>
    <row r="6" spans="2:7" ht="17.25">
      <c r="B6" s="1119" t="s">
        <v>1025</v>
      </c>
      <c r="C6" s="1117" t="s">
        <v>1026</v>
      </c>
      <c r="E6" s="1110"/>
      <c r="F6" s="1113"/>
      <c r="G6" s="1113"/>
    </row>
    <row r="7" spans="2:7" ht="17.25">
      <c r="B7" s="1120" t="s">
        <v>1027</v>
      </c>
      <c r="C7" s="1117" t="s">
        <v>1028</v>
      </c>
      <c r="E7" s="1110"/>
      <c r="F7" s="1113"/>
      <c r="G7" s="1113"/>
    </row>
    <row r="8" spans="2:7" ht="9" customHeight="1">
      <c r="B8" s="1110"/>
      <c r="C8" s="1110"/>
      <c r="D8" s="1110"/>
      <c r="E8" s="1110"/>
      <c r="F8" s="1113"/>
      <c r="G8" s="1113"/>
    </row>
    <row r="9" spans="2:7" ht="26.25" hidden="1" customHeight="1">
      <c r="B9" s="1121" t="s">
        <v>1029</v>
      </c>
      <c r="C9" s="1110"/>
      <c r="D9" s="1110"/>
      <c r="E9" s="1110"/>
      <c r="F9" s="1113"/>
      <c r="G9" s="1113"/>
    </row>
    <row r="10" spans="2:7" ht="26.25" hidden="1" customHeight="1" thickBot="1">
      <c r="B10" s="1122" t="s">
        <v>1030</v>
      </c>
      <c r="E10" s="1110"/>
      <c r="F10" s="1113"/>
      <c r="G10" s="1113"/>
    </row>
    <row r="11" spans="2:7" ht="26.25" hidden="1" customHeight="1">
      <c r="B11" s="1124" t="s">
        <v>1031</v>
      </c>
      <c r="C11" s="1125" t="s">
        <v>1032</v>
      </c>
      <c r="D11" s="1122"/>
      <c r="E11" s="1110"/>
      <c r="G11" s="1113"/>
    </row>
    <row r="12" spans="2:7" ht="26.25" hidden="1" customHeight="1">
      <c r="B12" s="1126" t="s">
        <v>1033</v>
      </c>
      <c r="C12" s="1127" t="str">
        <f>IF(【様式１】総括表・個票!$D$12="","※園名を選択",CONCATENATE("【加算申請】",VLOOKUP(【様式１】総括表・個票!$D$12,'施設状況(要更新)'!$F$4:$S$700,14,FALSE),【様式１】総括表・個票!$D$12))</f>
        <v>※園名を選択</v>
      </c>
      <c r="D12" s="1128" t="s">
        <v>1034</v>
      </c>
      <c r="G12" s="1113"/>
    </row>
    <row r="13" spans="2:7" ht="26.25" hidden="1" customHeight="1" thickBot="1">
      <c r="B13" s="1129" t="s">
        <v>1035</v>
      </c>
      <c r="C13" s="1130" t="s">
        <v>1036</v>
      </c>
      <c r="D13" s="1122" t="s">
        <v>1037</v>
      </c>
      <c r="G13" s="1113"/>
    </row>
    <row r="14" spans="2:7" ht="26.25" hidden="1" customHeight="1">
      <c r="D14" s="1122" t="s">
        <v>1038</v>
      </c>
      <c r="G14" s="1113"/>
    </row>
    <row r="15" spans="2:7" ht="26.25" hidden="1" customHeight="1" thickBot="1">
      <c r="B15" s="1122" t="s">
        <v>1039</v>
      </c>
      <c r="G15" s="1113"/>
    </row>
    <row r="16" spans="2:7" ht="26.25" hidden="1" customHeight="1">
      <c r="B16" s="1131" t="s">
        <v>1040</v>
      </c>
      <c r="C16" s="1132"/>
      <c r="D16" s="1122" t="s">
        <v>1041</v>
      </c>
      <c r="G16" s="1113"/>
    </row>
    <row r="17" spans="2:7" ht="26.25" hidden="1" customHeight="1">
      <c r="B17" s="1133" t="s">
        <v>1042</v>
      </c>
      <c r="C17" s="1134"/>
      <c r="D17" s="1112" t="s">
        <v>1043</v>
      </c>
      <c r="G17" s="1113"/>
    </row>
    <row r="18" spans="2:7" ht="26.25" hidden="1" customHeight="1" thickBot="1">
      <c r="B18" s="1135" t="s">
        <v>1044</v>
      </c>
      <c r="C18" s="1136"/>
      <c r="G18" s="1113"/>
    </row>
    <row r="19" spans="2:7" ht="26.25" hidden="1" customHeight="1">
      <c r="C19" s="1112"/>
      <c r="F19" s="1110"/>
      <c r="G19" s="1113"/>
    </row>
    <row r="20" spans="2:7" ht="24" hidden="1" customHeight="1">
      <c r="B20" s="1137" t="s">
        <v>1045</v>
      </c>
      <c r="C20" s="1138"/>
      <c r="D20" s="1139"/>
      <c r="F20" s="1113"/>
      <c r="G20" s="1113"/>
    </row>
    <row r="21" spans="2:7" ht="24" hidden="1" customHeight="1" thickBot="1">
      <c r="B21" s="1138" t="s">
        <v>1046</v>
      </c>
      <c r="C21" s="1138"/>
      <c r="D21" s="1139"/>
    </row>
    <row r="22" spans="2:7" ht="24" hidden="1" customHeight="1">
      <c r="B22" s="1140" t="s">
        <v>1047</v>
      </c>
      <c r="C22" s="1125" t="s">
        <v>1032</v>
      </c>
      <c r="D22" s="1139"/>
    </row>
    <row r="23" spans="2:7" ht="24" hidden="1" customHeight="1" thickBot="1">
      <c r="B23" s="1141" t="s">
        <v>1033</v>
      </c>
      <c r="C23" s="1130" t="str">
        <f>IF(【様式１】総括表・個票!$D$12="","※園名を選択",CONCATENATE("【加算問い合わせ】",VLOOKUP(【様式１】総括表・個票!$D$12,'施設状況(要更新)'!$F$4:$S$700,14,FALSE),【様式１】総括表・個票!$D$12))</f>
        <v>※園名を選択</v>
      </c>
      <c r="D23" s="1128" t="s">
        <v>1034</v>
      </c>
    </row>
    <row r="24" spans="2:7" ht="24" customHeight="1">
      <c r="B24" s="1142"/>
      <c r="C24" s="1143"/>
    </row>
    <row r="25" spans="2:7" ht="24" customHeight="1" thickBot="1">
      <c r="B25" s="1137" t="s">
        <v>1048</v>
      </c>
      <c r="C25" s="1110"/>
      <c r="E25" s="1110"/>
    </row>
    <row r="26" spans="2:7" ht="24" customHeight="1" thickBot="1">
      <c r="B26" s="1144" t="s">
        <v>1049</v>
      </c>
      <c r="C26" s="1250" t="s">
        <v>1050</v>
      </c>
      <c r="D26" s="1251"/>
      <c r="E26" s="1113"/>
    </row>
    <row r="27" spans="2:7" ht="69.75" customHeight="1" thickTop="1">
      <c r="B27" s="1145" t="s">
        <v>1051</v>
      </c>
      <c r="C27" s="1252" t="s">
        <v>1115</v>
      </c>
      <c r="D27" s="1253"/>
      <c r="E27" s="1113"/>
    </row>
    <row r="28" spans="2:7" ht="23.25" customHeight="1">
      <c r="B28" s="1245" t="s">
        <v>1052</v>
      </c>
      <c r="C28" s="1255" t="s">
        <v>941</v>
      </c>
      <c r="D28" s="1256"/>
      <c r="E28" s="1113"/>
    </row>
    <row r="29" spans="2:7" ht="23.25" customHeight="1">
      <c r="B29" s="1246"/>
      <c r="C29" s="1243" t="s">
        <v>496</v>
      </c>
      <c r="D29" s="1244"/>
      <c r="E29" s="1113"/>
    </row>
    <row r="30" spans="2:7" ht="23.25" customHeight="1">
      <c r="B30" s="1246"/>
      <c r="C30" s="1243" t="s">
        <v>483</v>
      </c>
      <c r="D30" s="1244"/>
      <c r="E30" s="1113"/>
    </row>
    <row r="31" spans="2:7" ht="23.25" customHeight="1">
      <c r="B31" s="1246"/>
      <c r="C31" s="1243" t="s">
        <v>938</v>
      </c>
      <c r="D31" s="1244"/>
      <c r="E31" s="1113"/>
    </row>
    <row r="32" spans="2:7" ht="23.25" customHeight="1">
      <c r="B32" s="1246"/>
      <c r="C32" s="1243" t="s">
        <v>484</v>
      </c>
      <c r="D32" s="1244"/>
      <c r="E32" s="1113"/>
    </row>
    <row r="33" spans="2:5" ht="23.25" customHeight="1">
      <c r="B33" s="1246"/>
      <c r="C33" s="1243" t="s">
        <v>485</v>
      </c>
      <c r="D33" s="1244"/>
      <c r="E33" s="1113"/>
    </row>
    <row r="34" spans="2:5" ht="23.25" customHeight="1">
      <c r="B34" s="1246"/>
      <c r="C34" s="1243" t="s">
        <v>486</v>
      </c>
      <c r="D34" s="1244"/>
      <c r="E34" s="1113"/>
    </row>
    <row r="35" spans="2:5" ht="23.25" customHeight="1">
      <c r="B35" s="1246"/>
      <c r="C35" s="1243" t="s">
        <v>939</v>
      </c>
      <c r="D35" s="1244"/>
      <c r="E35" s="1113"/>
    </row>
    <row r="36" spans="2:5" ht="23.25" customHeight="1">
      <c r="B36" s="1246"/>
      <c r="C36" s="1243" t="s">
        <v>940</v>
      </c>
      <c r="D36" s="1244"/>
      <c r="E36" s="1113"/>
    </row>
    <row r="37" spans="2:5" ht="23.25" customHeight="1">
      <c r="B37" s="1254"/>
      <c r="C37" s="1146" t="s">
        <v>487</v>
      </c>
      <c r="D37" s="1147"/>
      <c r="E37" s="1113"/>
    </row>
    <row r="38" spans="2:5" ht="23.25" customHeight="1">
      <c r="B38" s="1245" t="s">
        <v>1053</v>
      </c>
      <c r="C38" s="1148" t="s">
        <v>1054</v>
      </c>
      <c r="D38" s="1149"/>
      <c r="E38" s="1113"/>
    </row>
    <row r="39" spans="2:5" ht="23.25" customHeight="1">
      <c r="B39" s="1246"/>
      <c r="C39" s="1148" t="s">
        <v>1055</v>
      </c>
      <c r="D39" s="1149"/>
      <c r="E39" s="1113"/>
    </row>
    <row r="40" spans="2:5" ht="23.1" customHeight="1">
      <c r="B40" s="1246"/>
      <c r="C40" s="1148" t="s">
        <v>1056</v>
      </c>
      <c r="D40" s="1149"/>
      <c r="E40" s="1113"/>
    </row>
    <row r="41" spans="2:5" s="1151" customFormat="1" ht="57" customHeight="1" thickBot="1">
      <c r="B41" s="1247"/>
      <c r="C41" s="1248" t="s">
        <v>1162</v>
      </c>
      <c r="D41" s="1249"/>
      <c r="E41" s="1150"/>
    </row>
    <row r="42" spans="2:5" ht="24" customHeight="1">
      <c r="C42" s="1112"/>
    </row>
    <row r="43" spans="2:5" ht="24" customHeight="1">
      <c r="C43" s="1112"/>
    </row>
    <row r="44" spans="2:5" ht="24" customHeight="1">
      <c r="C44" s="1112"/>
    </row>
    <row r="45" spans="2:5" ht="24" customHeight="1">
      <c r="C45" s="1112"/>
    </row>
    <row r="46" spans="2:5" ht="24" customHeight="1">
      <c r="C46" s="1112"/>
    </row>
    <row r="47" spans="2:5" ht="24" customHeight="1">
      <c r="C47" s="1112"/>
    </row>
  </sheetData>
  <sheetProtection algorithmName="SHA-512" hashValue="d4hqMcYYJLuJ4hP5nwfp6Lwc3VLHjxvVjmiLUMSzOOvFudwVO5vwSvwiA2bXCYpk441rP3i01chYoUYwkNqCYA==" saltValue="VtKl47KCn80xcFPrb/lrsA==" spinCount="100000" sheet="1" objects="1" scenarios="1"/>
  <mergeCells count="14">
    <mergeCell ref="C35:D35"/>
    <mergeCell ref="C36:D36"/>
    <mergeCell ref="B38:B41"/>
    <mergeCell ref="C41:D41"/>
    <mergeCell ref="C26:D26"/>
    <mergeCell ref="C27:D27"/>
    <mergeCell ref="B28:B37"/>
    <mergeCell ref="C28:D28"/>
    <mergeCell ref="C29:D29"/>
    <mergeCell ref="C30:D30"/>
    <mergeCell ref="C31:D31"/>
    <mergeCell ref="C32:D32"/>
    <mergeCell ref="C33:D33"/>
    <mergeCell ref="C34:D34"/>
  </mergeCells>
  <phoneticPr fontId="1"/>
  <dataValidations count="1">
    <dataValidation type="list" allowBlank="1" showInputMessage="1" showErrorMessage="1" sqref="WVA983056 WLE983056 WBI983056 VRM983056 VHQ983056 UXU983056 UNY983056 UEC983056 TUG983056 TKK983056 TAO983056 SQS983056 SGW983056 RXA983056 RNE983056 RDI983056 QTM983056 QJQ983056 PZU983056 PPY983056 PGC983056 OWG983056 OMK983056 OCO983056 NSS983056 NIW983056 MZA983056 MPE983056 MFI983056 LVM983056 LLQ983056 LBU983056 KRY983056 KIC983056 JYG983056 JOK983056 JEO983056 IUS983056 IKW983056 IBA983056 HRE983056 HHI983056 GXM983056 GNQ983056 GDU983056 FTY983056 FKC983056 FAG983056 EQK983056 EGO983056 DWS983056 DMW983056 DDA983056 CTE983056 CJI983056 BZM983056 BPQ983056 BFU983056 AVY983056 AMC983056 ACG983056 SK983056 IO983056 C983046 WVA917520 WLE917520 WBI917520 VRM917520 VHQ917520 UXU917520 UNY917520 UEC917520 TUG917520 TKK917520 TAO917520 SQS917520 SGW917520 RXA917520 RNE917520 RDI917520 QTM917520 QJQ917520 PZU917520 PPY917520 PGC917520 OWG917520 OMK917520 OCO917520 NSS917520 NIW917520 MZA917520 MPE917520 MFI917520 LVM917520 LLQ917520 LBU917520 KRY917520 KIC917520 JYG917520 JOK917520 JEO917520 IUS917520 IKW917520 IBA917520 HRE917520 HHI917520 GXM917520 GNQ917520 GDU917520 FTY917520 FKC917520 FAG917520 EQK917520 EGO917520 DWS917520 DMW917520 DDA917520 CTE917520 CJI917520 BZM917520 BPQ917520 BFU917520 AVY917520 AMC917520 ACG917520 SK917520 IO917520 C917510 WVA851984 WLE851984 WBI851984 VRM851984 VHQ851984 UXU851984 UNY851984 UEC851984 TUG851984 TKK851984 TAO851984 SQS851984 SGW851984 RXA851984 RNE851984 RDI851984 QTM851984 QJQ851984 PZU851984 PPY851984 PGC851984 OWG851984 OMK851984 OCO851984 NSS851984 NIW851984 MZA851984 MPE851984 MFI851984 LVM851984 LLQ851984 LBU851984 KRY851984 KIC851984 JYG851984 JOK851984 JEO851984 IUS851984 IKW851984 IBA851984 HRE851984 HHI851984 GXM851984 GNQ851984 GDU851984 FTY851984 FKC851984 FAG851984 EQK851984 EGO851984 DWS851984 DMW851984 DDA851984 CTE851984 CJI851984 BZM851984 BPQ851984 BFU851984 AVY851984 AMC851984 ACG851984 SK851984 IO851984 C851974 WVA786448 WLE786448 WBI786448 VRM786448 VHQ786448 UXU786448 UNY786448 UEC786448 TUG786448 TKK786448 TAO786448 SQS786448 SGW786448 RXA786448 RNE786448 RDI786448 QTM786448 QJQ786448 PZU786448 PPY786448 PGC786448 OWG786448 OMK786448 OCO786448 NSS786448 NIW786448 MZA786448 MPE786448 MFI786448 LVM786448 LLQ786448 LBU786448 KRY786448 KIC786448 JYG786448 JOK786448 JEO786448 IUS786448 IKW786448 IBA786448 HRE786448 HHI786448 GXM786448 GNQ786448 GDU786448 FTY786448 FKC786448 FAG786448 EQK786448 EGO786448 DWS786448 DMW786448 DDA786448 CTE786448 CJI786448 BZM786448 BPQ786448 BFU786448 AVY786448 AMC786448 ACG786448 SK786448 IO786448 C786438 WVA720912 WLE720912 WBI720912 VRM720912 VHQ720912 UXU720912 UNY720912 UEC720912 TUG720912 TKK720912 TAO720912 SQS720912 SGW720912 RXA720912 RNE720912 RDI720912 QTM720912 QJQ720912 PZU720912 PPY720912 PGC720912 OWG720912 OMK720912 OCO720912 NSS720912 NIW720912 MZA720912 MPE720912 MFI720912 LVM720912 LLQ720912 LBU720912 KRY720912 KIC720912 JYG720912 JOK720912 JEO720912 IUS720912 IKW720912 IBA720912 HRE720912 HHI720912 GXM720912 GNQ720912 GDU720912 FTY720912 FKC720912 FAG720912 EQK720912 EGO720912 DWS720912 DMW720912 DDA720912 CTE720912 CJI720912 BZM720912 BPQ720912 BFU720912 AVY720912 AMC720912 ACG720912 SK720912 IO720912 C720902 WVA655376 WLE655376 WBI655376 VRM655376 VHQ655376 UXU655376 UNY655376 UEC655376 TUG655376 TKK655376 TAO655376 SQS655376 SGW655376 RXA655376 RNE655376 RDI655376 QTM655376 QJQ655376 PZU655376 PPY655376 PGC655376 OWG655376 OMK655376 OCO655376 NSS655376 NIW655376 MZA655376 MPE655376 MFI655376 LVM655376 LLQ655376 LBU655376 KRY655376 KIC655376 JYG655376 JOK655376 JEO655376 IUS655376 IKW655376 IBA655376 HRE655376 HHI655376 GXM655376 GNQ655376 GDU655376 FTY655376 FKC655376 FAG655376 EQK655376 EGO655376 DWS655376 DMW655376 DDA655376 CTE655376 CJI655376 BZM655376 BPQ655376 BFU655376 AVY655376 AMC655376 ACG655376 SK655376 IO655376 C655366 WVA589840 WLE589840 WBI589840 VRM589840 VHQ589840 UXU589840 UNY589840 UEC589840 TUG589840 TKK589840 TAO589840 SQS589840 SGW589840 RXA589840 RNE589840 RDI589840 QTM589840 QJQ589840 PZU589840 PPY589840 PGC589840 OWG589840 OMK589840 OCO589840 NSS589840 NIW589840 MZA589840 MPE589840 MFI589840 LVM589840 LLQ589840 LBU589840 KRY589840 KIC589840 JYG589840 JOK589840 JEO589840 IUS589840 IKW589840 IBA589840 HRE589840 HHI589840 GXM589840 GNQ589840 GDU589840 FTY589840 FKC589840 FAG589840 EQK589840 EGO589840 DWS589840 DMW589840 DDA589840 CTE589840 CJI589840 BZM589840 BPQ589840 BFU589840 AVY589840 AMC589840 ACG589840 SK589840 IO589840 C589830 WVA524304 WLE524304 WBI524304 VRM524304 VHQ524304 UXU524304 UNY524304 UEC524304 TUG524304 TKK524304 TAO524304 SQS524304 SGW524304 RXA524304 RNE524304 RDI524304 QTM524304 QJQ524304 PZU524304 PPY524304 PGC524304 OWG524304 OMK524304 OCO524304 NSS524304 NIW524304 MZA524304 MPE524304 MFI524304 LVM524304 LLQ524304 LBU524304 KRY524304 KIC524304 JYG524304 JOK524304 JEO524304 IUS524304 IKW524304 IBA524304 HRE524304 HHI524304 GXM524304 GNQ524304 GDU524304 FTY524304 FKC524304 FAG524304 EQK524304 EGO524304 DWS524304 DMW524304 DDA524304 CTE524304 CJI524304 BZM524304 BPQ524304 BFU524304 AVY524304 AMC524304 ACG524304 SK524304 IO524304 C524294 WVA458768 WLE458768 WBI458768 VRM458768 VHQ458768 UXU458768 UNY458768 UEC458768 TUG458768 TKK458768 TAO458768 SQS458768 SGW458768 RXA458768 RNE458768 RDI458768 QTM458768 QJQ458768 PZU458768 PPY458768 PGC458768 OWG458768 OMK458768 OCO458768 NSS458768 NIW458768 MZA458768 MPE458768 MFI458768 LVM458768 LLQ458768 LBU458768 KRY458768 KIC458768 JYG458768 JOK458768 JEO458768 IUS458768 IKW458768 IBA458768 HRE458768 HHI458768 GXM458768 GNQ458768 GDU458768 FTY458768 FKC458768 FAG458768 EQK458768 EGO458768 DWS458768 DMW458768 DDA458768 CTE458768 CJI458768 BZM458768 BPQ458768 BFU458768 AVY458768 AMC458768 ACG458768 SK458768 IO458768 C458758 WVA393232 WLE393232 WBI393232 VRM393232 VHQ393232 UXU393232 UNY393232 UEC393232 TUG393232 TKK393232 TAO393232 SQS393232 SGW393232 RXA393232 RNE393232 RDI393232 QTM393232 QJQ393232 PZU393232 PPY393232 PGC393232 OWG393232 OMK393232 OCO393232 NSS393232 NIW393232 MZA393232 MPE393232 MFI393232 LVM393232 LLQ393232 LBU393232 KRY393232 KIC393232 JYG393232 JOK393232 JEO393232 IUS393232 IKW393232 IBA393232 HRE393232 HHI393232 GXM393232 GNQ393232 GDU393232 FTY393232 FKC393232 FAG393232 EQK393232 EGO393232 DWS393232 DMW393232 DDA393232 CTE393232 CJI393232 BZM393232 BPQ393232 BFU393232 AVY393232 AMC393232 ACG393232 SK393232 IO393232 C393222 WVA327696 WLE327696 WBI327696 VRM327696 VHQ327696 UXU327696 UNY327696 UEC327696 TUG327696 TKK327696 TAO327696 SQS327696 SGW327696 RXA327696 RNE327696 RDI327696 QTM327696 QJQ327696 PZU327696 PPY327696 PGC327696 OWG327696 OMK327696 OCO327696 NSS327696 NIW327696 MZA327696 MPE327696 MFI327696 LVM327696 LLQ327696 LBU327696 KRY327696 KIC327696 JYG327696 JOK327696 JEO327696 IUS327696 IKW327696 IBA327696 HRE327696 HHI327696 GXM327696 GNQ327696 GDU327696 FTY327696 FKC327696 FAG327696 EQK327696 EGO327696 DWS327696 DMW327696 DDA327696 CTE327696 CJI327696 BZM327696 BPQ327696 BFU327696 AVY327696 AMC327696 ACG327696 SK327696 IO327696 C327686 WVA262160 WLE262160 WBI262160 VRM262160 VHQ262160 UXU262160 UNY262160 UEC262160 TUG262160 TKK262160 TAO262160 SQS262160 SGW262160 RXA262160 RNE262160 RDI262160 QTM262160 QJQ262160 PZU262160 PPY262160 PGC262160 OWG262160 OMK262160 OCO262160 NSS262160 NIW262160 MZA262160 MPE262160 MFI262160 LVM262160 LLQ262160 LBU262160 KRY262160 KIC262160 JYG262160 JOK262160 JEO262160 IUS262160 IKW262160 IBA262160 HRE262160 HHI262160 GXM262160 GNQ262160 GDU262160 FTY262160 FKC262160 FAG262160 EQK262160 EGO262160 DWS262160 DMW262160 DDA262160 CTE262160 CJI262160 BZM262160 BPQ262160 BFU262160 AVY262160 AMC262160 ACG262160 SK262160 IO262160 C262150 WVA196624 WLE196624 WBI196624 VRM196624 VHQ196624 UXU196624 UNY196624 UEC196624 TUG196624 TKK196624 TAO196624 SQS196624 SGW196624 RXA196624 RNE196624 RDI196624 QTM196624 QJQ196624 PZU196624 PPY196624 PGC196624 OWG196624 OMK196624 OCO196624 NSS196624 NIW196624 MZA196624 MPE196624 MFI196624 LVM196624 LLQ196624 LBU196624 KRY196624 KIC196624 JYG196624 JOK196624 JEO196624 IUS196624 IKW196624 IBA196624 HRE196624 HHI196624 GXM196624 GNQ196624 GDU196624 FTY196624 FKC196624 FAG196624 EQK196624 EGO196624 DWS196624 DMW196624 DDA196624 CTE196624 CJI196624 BZM196624 BPQ196624 BFU196624 AVY196624 AMC196624 ACG196624 SK196624 IO196624 C196614 WVA131088 WLE131088 WBI131088 VRM131088 VHQ131088 UXU131088 UNY131088 UEC131088 TUG131088 TKK131088 TAO131088 SQS131088 SGW131088 RXA131088 RNE131088 RDI131088 QTM131088 QJQ131088 PZU131088 PPY131088 PGC131088 OWG131088 OMK131088 OCO131088 NSS131088 NIW131088 MZA131088 MPE131088 MFI131088 LVM131088 LLQ131088 LBU131088 KRY131088 KIC131088 JYG131088 JOK131088 JEO131088 IUS131088 IKW131088 IBA131088 HRE131088 HHI131088 GXM131088 GNQ131088 GDU131088 FTY131088 FKC131088 FAG131088 EQK131088 EGO131088 DWS131088 DMW131088 DDA131088 CTE131088 CJI131088 BZM131088 BPQ131088 BFU131088 AVY131088 AMC131088 ACG131088 SK131088 IO131088 C131078 WVA65552 WLE65552 WBI65552 VRM65552 VHQ65552 UXU65552 UNY65552 UEC65552 TUG65552 TKK65552 TAO65552 SQS65552 SGW65552 RXA65552 RNE65552 RDI65552 QTM65552 QJQ65552 PZU65552 PPY65552 PGC65552 OWG65552 OMK65552 OCO65552 NSS65552 NIW65552 MZA65552 MPE65552 MFI65552 LVM65552 LLQ65552 LBU65552 KRY65552 KIC65552 JYG65552 JOK65552 JEO65552 IUS65552 IKW65552 IBA65552 HRE65552 HHI65552 GXM65552 GNQ65552 GDU65552 FTY65552 FKC65552 FAG65552 EQK65552 EGO65552 DWS65552 DMW65552 DDA65552 CTE65552 CJI65552 BZM65552 BPQ65552 BFU65552 AVY65552 AMC65552 ACG65552 SK65552 IO65552 C65542 IN27:IN34 SJ27:SJ34 ACF27:ACF34 AMB27:AMB34 AVX27:AVX34 BFT27:BFT34 BPP27:BPP34 BZL27:BZL34 CJH27:CJH34 CTD27:CTD34 DCZ27:DCZ34 DMV27:DMV34 DWR27:DWR34 EGN27:EGN34 EQJ27:EQJ34 FAF27:FAF34 FKB27:FKB34 FTX27:FTX34 GDT27:GDT34 GNP27:GNP34 GXL27:GXL34 HHH27:HHH34 HRD27:HRD34 IAZ27:IAZ34 IKV27:IKV34 IUR27:IUR34 JEN27:JEN34 JOJ27:JOJ34 JYF27:JYF34 KIB27:KIB34 KRX27:KRX34 LBT27:LBT34 LLP27:LLP34 LVL27:LVL34 MFH27:MFH34 MPD27:MPD34 MYZ27:MYZ34 NIV27:NIV34 NSR27:NSR34 OCN27:OCN34 OMJ27:OMJ34 OWF27:OWF34 PGB27:PGB34 PPX27:PPX34 PZT27:PZT34 QJP27:QJP34 QTL27:QTL34 RDH27:RDH34 RND27:RND34 RWZ27:RWZ34 SGV27:SGV34 SQR27:SQR34 TAN27:TAN34 TKJ27:TKJ34 TUF27:TUF34 UEB27:UEB34 UNX27:UNX34 UXT27:UXT34 VHP27:VHP34 VRL27:VRL34 WBH27:WBH34 WLD27:WLD34 WUZ27:WUZ34" xr:uid="{00000000-0002-0000-0200-000000000000}">
      <formula1>#REF!</formula1>
    </dataValidation>
  </dataValidations>
  <hyperlinks>
    <hyperlink ref="C11" r:id="rId1" xr:uid="{00000000-0004-0000-0200-000000000000}"/>
    <hyperlink ref="C22" r:id="rId2" xr:uid="{00000000-0004-0000-0200-000001000000}"/>
  </hyperlinks>
  <pageMargins left="0.39370078740157483" right="0" top="0.98425196850393704" bottom="0.98425196850393704" header="0.51181102362204722" footer="0.51181102362204722"/>
  <pageSetup paperSize="9" scale="65" orientation="portrait" r:id="rId3"/>
  <headerFooter alignWithMargins="0"/>
  <colBreaks count="1" manualBreakCount="1">
    <brk id="6" max="2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FF"/>
  </sheetPr>
  <dimension ref="A1:L103"/>
  <sheetViews>
    <sheetView view="pageBreakPreview" zoomScaleNormal="100" zoomScaleSheetLayoutView="100" workbookViewId="0"/>
  </sheetViews>
  <sheetFormatPr defaultColWidth="9" defaultRowHeight="13.5" outlineLevelCol="1"/>
  <cols>
    <col min="1" max="1" width="15" style="174" customWidth="1"/>
    <col min="2" max="2" width="38.125" style="174" customWidth="1"/>
    <col min="3" max="3" width="63.5" style="174" customWidth="1"/>
    <col min="4" max="11" width="9" style="174" hidden="1" customWidth="1" outlineLevel="1"/>
    <col min="12" max="12" width="9" style="174" collapsed="1"/>
    <col min="13" max="16384" width="9" style="174"/>
  </cols>
  <sheetData>
    <row r="1" spans="1:9" ht="18" thickBot="1">
      <c r="A1" s="1137" t="s">
        <v>1045</v>
      </c>
      <c r="B1" s="1138"/>
      <c r="D1" s="173" t="s">
        <v>108</v>
      </c>
      <c r="E1" s="1162" t="s">
        <v>1061</v>
      </c>
      <c r="F1" s="173" t="s">
        <v>1062</v>
      </c>
    </row>
    <row r="2" spans="1:9" ht="17.25">
      <c r="A2" s="1163" t="s">
        <v>1047</v>
      </c>
      <c r="B2" s="1160" t="s">
        <v>1063</v>
      </c>
      <c r="D2" s="173" t="str">
        <f>【様式１】総括表・個票!I10&amp;"月"</f>
        <v>4月</v>
      </c>
      <c r="E2" s="1162" t="e">
        <f>VLOOKUP(【様式１】総括表・個票!D12,'施設状況(要更新)'!$F$4:$S$47,14,FALSE)</f>
        <v>#N/A</v>
      </c>
      <c r="F2" s="173">
        <f>【様式１】総括表・個票!D12</f>
        <v>0</v>
      </c>
    </row>
    <row r="3" spans="1:9" ht="14.25">
      <c r="A3" s="1164" t="s">
        <v>1033</v>
      </c>
      <c r="B3" s="1165" t="e">
        <f>"【問合せ】"&amp;D2&amp;"加算"&amp;E2&amp;F2</f>
        <v>#N/A</v>
      </c>
      <c r="C3" s="1122" t="s">
        <v>1064</v>
      </c>
      <c r="D3" s="1166"/>
    </row>
    <row r="4" spans="1:9">
      <c r="A4" s="1167" t="s">
        <v>1065</v>
      </c>
      <c r="B4" s="1159"/>
    </row>
    <row r="5" spans="1:9" ht="17.25">
      <c r="A5" s="1168" t="s">
        <v>1066</v>
      </c>
      <c r="B5" s="1169"/>
      <c r="C5" s="1169"/>
    </row>
    <row r="6" spans="1:9" ht="18" thickBot="1">
      <c r="A6" s="1170" t="s">
        <v>1067</v>
      </c>
      <c r="B6" s="1171"/>
      <c r="C6" s="1112"/>
    </row>
    <row r="7" spans="1:9" ht="17.25">
      <c r="A7" s="1172" t="s">
        <v>1031</v>
      </c>
      <c r="B7" s="1161" t="s">
        <v>1063</v>
      </c>
      <c r="C7" s="1112"/>
    </row>
    <row r="8" spans="1:9" ht="14.25">
      <c r="A8" s="1164" t="s">
        <v>1033</v>
      </c>
      <c r="B8" s="1173" t="e">
        <f>"【提出】"&amp;D2&amp;"加算"&amp;E2&amp;F2</f>
        <v>#N/A</v>
      </c>
      <c r="C8" s="1122" t="s">
        <v>1064</v>
      </c>
    </row>
    <row r="9" spans="1:9" ht="14.25">
      <c r="A9" s="1174" t="s">
        <v>1068</v>
      </c>
      <c r="B9" s="1175" t="e">
        <f>D2&amp;"加算"&amp;E2&amp;F2</f>
        <v>#N/A</v>
      </c>
      <c r="C9" s="1229" t="s">
        <v>1158</v>
      </c>
    </row>
    <row r="10" spans="1:9" ht="15" thickBot="1">
      <c r="A10" s="1176" t="s">
        <v>1035</v>
      </c>
      <c r="B10" s="1177" t="s">
        <v>1069</v>
      </c>
      <c r="C10" s="1122" t="s">
        <v>1070</v>
      </c>
    </row>
    <row r="11" spans="1:9">
      <c r="A11" s="1178" t="s">
        <v>1071</v>
      </c>
    </row>
    <row r="12" spans="1:9">
      <c r="A12" s="1179" t="s">
        <v>1072</v>
      </c>
    </row>
    <row r="13" spans="1:9" ht="17.25">
      <c r="A13" s="1168"/>
      <c r="B13" s="1180"/>
      <c r="C13" s="1180"/>
    </row>
    <row r="14" spans="1:9" ht="13.5" customHeight="1" thickBot="1">
      <c r="A14" s="1181"/>
      <c r="B14" s="1182" t="s">
        <v>1073</v>
      </c>
      <c r="C14" s="1183" t="s">
        <v>1074</v>
      </c>
    </row>
    <row r="15" spans="1:9" ht="14.45" customHeight="1">
      <c r="A15" s="1263" t="s">
        <v>1075</v>
      </c>
      <c r="B15" s="1260" t="str" cm="1">
        <f t="array" aca="1" ref="B15" ca="1">IFERROR(INDIRECT("F"&amp;SMALL($I$16:$I$28,ROW()/3-4)),"")</f>
        <v/>
      </c>
      <c r="C15" s="1184" t="str">
        <f ca="1">IF($B$15="","",$E$2&amp;"_"&amp;B15&amp;"添付書類①")</f>
        <v/>
      </c>
      <c r="F15" s="1185" t="s">
        <v>1076</v>
      </c>
      <c r="G15" s="1185" t="s">
        <v>1077</v>
      </c>
      <c r="H15" s="174" t="s">
        <v>1078</v>
      </c>
      <c r="I15" s="174" t="s">
        <v>120</v>
      </c>
    </row>
    <row r="16" spans="1:9" ht="14.45" customHeight="1">
      <c r="A16" s="1264"/>
      <c r="B16" s="1261"/>
      <c r="C16" s="1186" t="str">
        <f ca="1">IF($B$15="","",$E$2&amp;"_"&amp;B15&amp;"添付書類②")</f>
        <v/>
      </c>
      <c r="D16" s="174" t="b">
        <f ca="1">B15=""</f>
        <v>1</v>
      </c>
      <c r="F16" s="1187" t="s">
        <v>43</v>
      </c>
      <c r="G16" s="174" t="str">
        <f>INDEX(【様式１】総括表・個票!$B$17:$B$41,MATCH(F16,【様式１】総括表・個票!$F$17:F$41,0))</f>
        <v>×</v>
      </c>
      <c r="H16" s="174" t="str">
        <f>G16</f>
        <v>×</v>
      </c>
      <c r="I16" s="174" t="str">
        <f>IF(H16="○",ROW(),"")</f>
        <v/>
      </c>
    </row>
    <row r="17" spans="1:9" ht="14.45" customHeight="1" thickBot="1">
      <c r="A17" s="1265"/>
      <c r="B17" s="1262"/>
      <c r="C17" s="1188" t="str">
        <f ca="1">IF($B$15="","",$E$2&amp;"_"&amp;B15&amp;"添付書類③")</f>
        <v/>
      </c>
      <c r="D17" s="174" t="b">
        <f ca="1">D16</f>
        <v>1</v>
      </c>
      <c r="F17" s="1187" t="s">
        <v>289</v>
      </c>
      <c r="G17" s="174" t="str">
        <f>INDEX(【様式１】総括表・個票!$B$17:$B$41,MATCH(F17,【様式１】総括表・個票!$F$17:F$41,0))</f>
        <v>×</v>
      </c>
      <c r="H17" s="174" t="str">
        <f>IF(OR(G17="×",G17="適用月エラー"),"×","○")</f>
        <v>×</v>
      </c>
      <c r="I17" s="174" t="str">
        <f t="shared" ref="I17:I24" si="0">IF(H17="○",ROW(),"")</f>
        <v/>
      </c>
    </row>
    <row r="18" spans="1:9" ht="14.45" customHeight="1">
      <c r="A18" s="1257" t="s">
        <v>1079</v>
      </c>
      <c r="B18" s="1260" t="str" cm="1">
        <f t="array" aca="1" ref="B18" ca="1">IFERROR(INDIRECT("F"&amp;SMALL($I$16:$I$28,ROW()/3-4)),"")</f>
        <v/>
      </c>
      <c r="C18" s="1184" t="str">
        <f ca="1">IF($B$15="","",$E$2&amp;"_"&amp;B18&amp;"添付書類①")</f>
        <v/>
      </c>
      <c r="D18" s="174" t="b">
        <f ca="1">D16</f>
        <v>1</v>
      </c>
      <c r="F18" s="1187" t="s">
        <v>1093</v>
      </c>
      <c r="G18" s="174" t="str">
        <f>INDEX(【様式１】総括表・個票!$B$17:$B$41,MATCH(F18,【様式１】総括表・個票!$F$17:F$41,0))</f>
        <v>×</v>
      </c>
      <c r="H18" s="174" t="str">
        <f t="shared" ref="H18:H24" si="1">G18</f>
        <v>×</v>
      </c>
      <c r="I18" s="174" t="str">
        <f t="shared" si="0"/>
        <v/>
      </c>
    </row>
    <row r="19" spans="1:9" ht="14.45" customHeight="1">
      <c r="A19" s="1258"/>
      <c r="B19" s="1261"/>
      <c r="C19" s="1186" t="str">
        <f ca="1">IF($B$15="","",$E$2&amp;"_"&amp;B18&amp;"添付書類②")</f>
        <v/>
      </c>
      <c r="D19" s="174" t="b">
        <f ca="1">B18=""</f>
        <v>1</v>
      </c>
      <c r="F19" s="1187" t="s">
        <v>1094</v>
      </c>
      <c r="G19" s="174" t="str">
        <f>INDEX(【様式１】総括表・個票!$B$17:$B$41,MATCH(F19,【様式１】総括表・個票!$F$17:F$41,0))</f>
        <v>×</v>
      </c>
      <c r="H19" s="174" t="str">
        <f t="shared" si="1"/>
        <v>×</v>
      </c>
      <c r="I19" s="174" t="str">
        <f t="shared" si="0"/>
        <v/>
      </c>
    </row>
    <row r="20" spans="1:9" ht="14.45" customHeight="1" thickBot="1">
      <c r="A20" s="1259"/>
      <c r="B20" s="1262"/>
      <c r="C20" s="1188" t="str">
        <f ca="1">IF($B$15="","",$E$2&amp;"_"&amp;B18&amp;"添付書類③")</f>
        <v/>
      </c>
      <c r="D20" s="174" t="b">
        <f ca="1">D19</f>
        <v>1</v>
      </c>
      <c r="F20" s="1187" t="s">
        <v>1081</v>
      </c>
      <c r="G20" s="174" t="str">
        <f>INDEX(【様式１】総括表・個票!$B$17:$B$41,MATCH(F20,【様式１】総括表・個票!$F$17:F$41,0))</f>
        <v>×</v>
      </c>
      <c r="H20" s="1190" t="str">
        <f>IF(OR(G20="特児",G20="その他"),"○","×")</f>
        <v>×</v>
      </c>
      <c r="I20" s="174" t="str">
        <f t="shared" si="0"/>
        <v/>
      </c>
    </row>
    <row r="21" spans="1:9" ht="14.45" customHeight="1">
      <c r="A21" s="1257" t="s">
        <v>1080</v>
      </c>
      <c r="B21" s="1260" t="str" cm="1">
        <f t="array" aca="1" ref="B21" ca="1">IFERROR(INDIRECT("F"&amp;SMALL($I$16:$I$28,ROW()/3-4)),"")</f>
        <v/>
      </c>
      <c r="C21" s="1184" t="str">
        <f ca="1">IF($B$15="","",$E$2&amp;"_"&amp;B21&amp;"添付書類①")</f>
        <v/>
      </c>
      <c r="D21" s="174" t="b">
        <f ca="1">D19</f>
        <v>1</v>
      </c>
      <c r="F21" s="1187" t="s">
        <v>1095</v>
      </c>
      <c r="G21" s="174" t="str">
        <f>INDEX(【様式１】総括表・個票!$B$17:$B$41,MATCH(F21,【様式１】総括表・個票!$F$17:F$41,0))</f>
        <v>×</v>
      </c>
      <c r="H21" s="174" t="str">
        <f t="shared" si="1"/>
        <v>×</v>
      </c>
      <c r="I21" s="174" t="str">
        <f t="shared" si="0"/>
        <v/>
      </c>
    </row>
    <row r="22" spans="1:9" ht="14.45" customHeight="1">
      <c r="A22" s="1258"/>
      <c r="B22" s="1261"/>
      <c r="C22" s="1186" t="str">
        <f ca="1">IF($B$15="","",$E$2&amp;"_"&amp;B21&amp;"添付書類②")</f>
        <v/>
      </c>
      <c r="D22" s="174" t="b">
        <f ca="1">B21=""</f>
        <v>1</v>
      </c>
      <c r="F22" s="1187" t="s">
        <v>1096</v>
      </c>
      <c r="G22" s="174" t="str">
        <f>INDEX(【様式１】総括表・個票!$B$17:$B$41,MATCH(F22,【様式１】総括表・個票!$F$17:F$41,0))</f>
        <v>×</v>
      </c>
      <c r="H22" s="174" t="str">
        <f t="shared" si="1"/>
        <v>×</v>
      </c>
      <c r="I22" s="174" t="str">
        <f t="shared" si="0"/>
        <v/>
      </c>
    </row>
    <row r="23" spans="1:9" ht="14.45" customHeight="1" thickBot="1">
      <c r="A23" s="1259"/>
      <c r="B23" s="1262"/>
      <c r="C23" s="1188" t="str">
        <f ca="1">IF($B$15="","",$E$2&amp;"_"&amp;B21&amp;"添付書類③")</f>
        <v/>
      </c>
      <c r="D23" s="174" t="b">
        <f ca="1">D22</f>
        <v>1</v>
      </c>
      <c r="F23" s="1187" t="s">
        <v>1082</v>
      </c>
      <c r="G23" s="174" t="str">
        <f>INDEX(【様式１】総括表・個票!$B$17:$B$41,MATCH(F23,【様式１】総括表・個票!$F$17:F$41,0))</f>
        <v>×</v>
      </c>
      <c r="H23" s="1189" t="str">
        <f>IF(G23="×","×",IF(G23="適用月エラー","×","○"))</f>
        <v>×</v>
      </c>
      <c r="I23" s="174" t="str">
        <f t="shared" si="0"/>
        <v/>
      </c>
    </row>
    <row r="24" spans="1:9" ht="14.45" customHeight="1">
      <c r="A24" s="1257" t="s">
        <v>1083</v>
      </c>
      <c r="B24" s="1260" t="str" cm="1">
        <f t="array" aca="1" ref="B24" ca="1">IFERROR(INDIRECT("F"&amp;SMALL($I$16:$I$28,ROW()/3-4)),"")</f>
        <v/>
      </c>
      <c r="C24" s="1184" t="str">
        <f ca="1">IF($B$15="","",$E$2&amp;"_"&amp;B24&amp;"添付書類①")</f>
        <v/>
      </c>
      <c r="D24" s="174" t="b">
        <f ca="1">D22</f>
        <v>1</v>
      </c>
      <c r="F24" s="1187" t="s">
        <v>1097</v>
      </c>
      <c r="G24" s="174" t="str">
        <f>INDEX(【様式１】総括表・個票!$B$17:$B$41,MATCH(F24,【様式１】総括表・個票!$F$17:F$41,0))</f>
        <v>×</v>
      </c>
      <c r="H24" s="174" t="str">
        <f t="shared" si="1"/>
        <v>×</v>
      </c>
      <c r="I24" s="174" t="str">
        <f t="shared" si="0"/>
        <v/>
      </c>
    </row>
    <row r="25" spans="1:9" ht="14.45" customHeight="1">
      <c r="A25" s="1258"/>
      <c r="B25" s="1261"/>
      <c r="C25" s="1186" t="str">
        <f ca="1">IF($B$15="","",$E$2&amp;"_"&amp;B24&amp;"添付書類②")</f>
        <v/>
      </c>
      <c r="D25" s="174" t="b">
        <f ca="1">B24=""</f>
        <v>1</v>
      </c>
      <c r="F25" s="1187"/>
    </row>
    <row r="26" spans="1:9" ht="14.45" customHeight="1" thickBot="1">
      <c r="A26" s="1259"/>
      <c r="B26" s="1262"/>
      <c r="C26" s="1188" t="str">
        <f ca="1">IF($B$15="","",$E$2&amp;"_"&amp;B24&amp;"添付書類③")</f>
        <v/>
      </c>
      <c r="D26" s="174" t="b">
        <f ca="1">D25</f>
        <v>1</v>
      </c>
      <c r="F26" s="1187"/>
      <c r="G26" s="1187"/>
    </row>
    <row r="27" spans="1:9" ht="14.45" customHeight="1">
      <c r="A27" s="1257" t="s">
        <v>1084</v>
      </c>
      <c r="B27" s="1260" t="str" cm="1">
        <f t="array" aca="1" ref="B27" ca="1">IFERROR(INDIRECT("F"&amp;SMALL($I$16:$I$28,ROW()/3-4)),"")</f>
        <v/>
      </c>
      <c r="C27" s="1184" t="str">
        <f ca="1">IF($B$15="","",$E$2&amp;"_"&amp;B27&amp;"添付書類①")</f>
        <v/>
      </c>
      <c r="D27" s="174" t="b">
        <f ca="1">D25</f>
        <v>1</v>
      </c>
      <c r="F27" s="1187"/>
      <c r="G27" s="1187"/>
    </row>
    <row r="28" spans="1:9" ht="14.45" customHeight="1">
      <c r="A28" s="1258"/>
      <c r="B28" s="1261"/>
      <c r="C28" s="1186" t="str">
        <f ca="1">IF($B$15="","",$E$2&amp;"_"&amp;B27&amp;"添付書類②")</f>
        <v/>
      </c>
      <c r="D28" s="174" t="b">
        <f ca="1">B27=""</f>
        <v>1</v>
      </c>
      <c r="F28" s="1187"/>
      <c r="H28" s="1189"/>
    </row>
    <row r="29" spans="1:9" ht="14.45" customHeight="1" thickBot="1">
      <c r="A29" s="1259"/>
      <c r="B29" s="1262"/>
      <c r="C29" s="1188" t="str">
        <f ca="1">IF($B$15="","",$E$2&amp;"_"&amp;B27&amp;"添付書類③")</f>
        <v/>
      </c>
      <c r="D29" s="174" t="b">
        <f ca="1">D28</f>
        <v>1</v>
      </c>
    </row>
    <row r="30" spans="1:9" ht="14.45" customHeight="1">
      <c r="A30" s="1257" t="s">
        <v>1085</v>
      </c>
      <c r="B30" s="1260" t="str" cm="1">
        <f t="array" aca="1" ref="B30" ca="1">IFERROR(INDIRECT("F"&amp;SMALL($I$16:$I$28,ROW()/3-4)),"")</f>
        <v/>
      </c>
      <c r="C30" s="1184" t="str">
        <f ca="1">IF($B$15="","",$E$2&amp;"_"&amp;B30&amp;"添付書類①")</f>
        <v/>
      </c>
      <c r="D30" s="174" t="b">
        <f ca="1">D28</f>
        <v>1</v>
      </c>
    </row>
    <row r="31" spans="1:9" ht="14.45" customHeight="1">
      <c r="A31" s="1258"/>
      <c r="B31" s="1261"/>
      <c r="C31" s="1186" t="str">
        <f ca="1">IF($B$15="","",$E$2&amp;"_"&amp;B30&amp;"添付書類②")</f>
        <v/>
      </c>
      <c r="D31" s="174" t="b">
        <f ca="1">B30=""</f>
        <v>1</v>
      </c>
    </row>
    <row r="32" spans="1:9" ht="14.45" customHeight="1" thickBot="1">
      <c r="A32" s="1259"/>
      <c r="B32" s="1262"/>
      <c r="C32" s="1188" t="str">
        <f ca="1">IF($B$15="","",$E$2&amp;"_"&amp;B30&amp;"添付書類③")</f>
        <v/>
      </c>
      <c r="D32" s="174" t="b">
        <f ca="1">D31</f>
        <v>1</v>
      </c>
    </row>
    <row r="33" spans="1:4" ht="14.45" customHeight="1">
      <c r="A33" s="1257" t="s">
        <v>1086</v>
      </c>
      <c r="B33" s="1260" t="str" cm="1">
        <f t="array" aca="1" ref="B33" ca="1">IFERROR(INDIRECT("F"&amp;SMALL($I$16:$I$28,ROW()/3-4)),"")</f>
        <v/>
      </c>
      <c r="C33" s="1184" t="str">
        <f ca="1">IF($B$15="","",$E$2&amp;"_"&amp;B33&amp;"添付書類①")</f>
        <v/>
      </c>
      <c r="D33" s="174" t="b">
        <f ca="1">D31</f>
        <v>1</v>
      </c>
    </row>
    <row r="34" spans="1:4" ht="14.45" customHeight="1">
      <c r="A34" s="1258"/>
      <c r="B34" s="1261"/>
      <c r="C34" s="1186" t="str">
        <f ca="1">IF($B$15="","",$E$2&amp;"_"&amp;B33&amp;"添付書類②")</f>
        <v/>
      </c>
      <c r="D34" s="174" t="b">
        <f ca="1">B33=""</f>
        <v>1</v>
      </c>
    </row>
    <row r="35" spans="1:4" ht="14.45" customHeight="1" thickBot="1">
      <c r="A35" s="1259"/>
      <c r="B35" s="1262"/>
      <c r="C35" s="1188" t="str">
        <f ca="1">IF($B$15="","",$E$2&amp;"_"&amp;B33&amp;"添付書類③")</f>
        <v/>
      </c>
      <c r="D35" s="174" t="b">
        <f ca="1">D34</f>
        <v>1</v>
      </c>
    </row>
    <row r="36" spans="1:4" ht="14.45" customHeight="1">
      <c r="A36" s="1257" t="s">
        <v>1087</v>
      </c>
      <c r="B36" s="1260" t="str" cm="1">
        <f t="array" aca="1" ref="B36" ca="1">IFERROR(INDIRECT("F"&amp;SMALL($I$16:$I$28,ROW()/3-4)),"")</f>
        <v/>
      </c>
      <c r="C36" s="1184" t="str">
        <f ca="1">IF($B$15="","",$E$2&amp;"_"&amp;B36&amp;"添付書類①")</f>
        <v/>
      </c>
      <c r="D36" s="174" t="b">
        <f ca="1">D34</f>
        <v>1</v>
      </c>
    </row>
    <row r="37" spans="1:4" ht="14.45" customHeight="1">
      <c r="A37" s="1258"/>
      <c r="B37" s="1261"/>
      <c r="C37" s="1186" t="str">
        <f ca="1">IF($B$15="","",$E$2&amp;"_"&amp;B36&amp;"添付書類②")</f>
        <v/>
      </c>
      <c r="D37" s="174" t="b">
        <f ca="1">B36=""</f>
        <v>1</v>
      </c>
    </row>
    <row r="38" spans="1:4" ht="14.45" customHeight="1" thickBot="1">
      <c r="A38" s="1259"/>
      <c r="B38" s="1262"/>
      <c r="C38" s="1188" t="str">
        <f ca="1">IF($B$15="","",$E$2&amp;"_"&amp;B36&amp;"添付書類③")</f>
        <v/>
      </c>
      <c r="D38" s="174" t="b">
        <f ca="1">D37</f>
        <v>1</v>
      </c>
    </row>
    <row r="39" spans="1:4" ht="14.45" customHeight="1">
      <c r="A39" s="1257" t="s">
        <v>1088</v>
      </c>
      <c r="B39" s="1260" t="str" cm="1">
        <f t="array" aca="1" ref="B39" ca="1">IFERROR(INDIRECT("F"&amp;SMALL($I$16:$I$28,ROW()/3-4)),"")</f>
        <v/>
      </c>
      <c r="C39" s="1184" t="str">
        <f ca="1">IF($B$15="","",$E$2&amp;"_"&amp;B39&amp;"添付書類①")</f>
        <v/>
      </c>
      <c r="D39" s="174" t="b">
        <f ca="1">D37</f>
        <v>1</v>
      </c>
    </row>
    <row r="40" spans="1:4" ht="14.45" customHeight="1">
      <c r="A40" s="1258"/>
      <c r="B40" s="1261"/>
      <c r="C40" s="1186" t="str">
        <f ca="1">IF($B$15="","",$E$2&amp;"_"&amp;B39&amp;"添付書類②")</f>
        <v/>
      </c>
      <c r="D40" s="174" t="b">
        <f ca="1">B39=""</f>
        <v>1</v>
      </c>
    </row>
    <row r="41" spans="1:4" ht="14.45" customHeight="1" thickBot="1">
      <c r="A41" s="1259"/>
      <c r="B41" s="1262"/>
      <c r="C41" s="1188" t="str">
        <f ca="1">IF($B$15="","",$E$2&amp;"_"&amp;B39&amp;"添付書類③")</f>
        <v/>
      </c>
      <c r="D41" s="174" t="b">
        <f ca="1">D40</f>
        <v>1</v>
      </c>
    </row>
    <row r="42" spans="1:4" ht="14.45" customHeight="1">
      <c r="A42" s="1257" t="s">
        <v>1089</v>
      </c>
      <c r="B42" s="1260" t="str" cm="1">
        <f t="array" aca="1" ref="B42" ca="1">IFERROR(INDIRECT("F"&amp;SMALL($I$16:$I$28,ROW()/3-4)),"")</f>
        <v/>
      </c>
      <c r="C42" s="1184" t="str">
        <f ca="1">IF($B$15="","",$E$2&amp;"_"&amp;B42&amp;"添付書類①")</f>
        <v/>
      </c>
      <c r="D42" s="174" t="b">
        <f ca="1">D40</f>
        <v>1</v>
      </c>
    </row>
    <row r="43" spans="1:4" ht="14.45" customHeight="1">
      <c r="A43" s="1258"/>
      <c r="B43" s="1261"/>
      <c r="C43" s="1186" t="str">
        <f ca="1">IF($B$15="","",$E$2&amp;"_"&amp;B42&amp;"添付書類②")</f>
        <v/>
      </c>
      <c r="D43" s="174" t="b">
        <f ca="1">B42=""</f>
        <v>1</v>
      </c>
    </row>
    <row r="44" spans="1:4" ht="14.45" customHeight="1" thickBot="1">
      <c r="A44" s="1259"/>
      <c r="B44" s="1262"/>
      <c r="C44" s="1188" t="str">
        <f ca="1">IF($B$15="","",$E$2&amp;"_"&amp;B42&amp;"添付書類③")</f>
        <v/>
      </c>
      <c r="D44" s="174" t="b">
        <f ca="1">D43</f>
        <v>1</v>
      </c>
    </row>
    <row r="45" spans="1:4" ht="14.45" customHeight="1">
      <c r="A45" s="1257" t="s">
        <v>1090</v>
      </c>
      <c r="B45" s="1260" t="str" cm="1">
        <f t="array" aca="1" ref="B45" ca="1">IFERROR(INDIRECT("F"&amp;SMALL($I$16:$I$28,ROW()/3-4)),"")</f>
        <v/>
      </c>
      <c r="C45" s="1184" t="str">
        <f ca="1">IF($B$15="","",$E$2&amp;"_"&amp;B45&amp;"添付書類①")</f>
        <v/>
      </c>
      <c r="D45" s="174" t="b">
        <f t="shared" ref="D45" ca="1" si="2">D43</f>
        <v>1</v>
      </c>
    </row>
    <row r="46" spans="1:4" ht="14.45" customHeight="1">
      <c r="A46" s="1258"/>
      <c r="B46" s="1261"/>
      <c r="C46" s="1186" t="str">
        <f ca="1">IF($B$15="","",$E$2&amp;"_"&amp;B45&amp;"添付書類②")</f>
        <v/>
      </c>
      <c r="D46" s="174" t="b">
        <f t="shared" ref="D46" ca="1" si="3">B45=""</f>
        <v>1</v>
      </c>
    </row>
    <row r="47" spans="1:4" ht="14.45" customHeight="1" thickBot="1">
      <c r="A47" s="1259"/>
      <c r="B47" s="1262"/>
      <c r="C47" s="1188" t="str">
        <f ca="1">IF($B$15="","",$E$2&amp;"_"&amp;B45&amp;"添付書類③")</f>
        <v/>
      </c>
      <c r="D47" s="174" t="b">
        <f t="shared" ref="D47" ca="1" si="4">D46</f>
        <v>1</v>
      </c>
    </row>
    <row r="48" spans="1:4" ht="14.45" customHeight="1">
      <c r="A48" s="1257" t="s">
        <v>1091</v>
      </c>
      <c r="B48" s="1260" t="str" cm="1">
        <f t="array" aca="1" ref="B48" ca="1">IFERROR(INDIRECT("F"&amp;SMALL($I$16:$I$28,ROW()/3-4)),"")</f>
        <v/>
      </c>
      <c r="C48" s="1184" t="str">
        <f ca="1">IF($B$15="","",$E$2&amp;"_"&amp;B48&amp;"添付書類①")</f>
        <v/>
      </c>
      <c r="D48" s="174" t="b">
        <f t="shared" ref="D48" ca="1" si="5">D46</f>
        <v>1</v>
      </c>
    </row>
    <row r="49" spans="1:4" ht="14.45" customHeight="1">
      <c r="A49" s="1258"/>
      <c r="B49" s="1261"/>
      <c r="C49" s="1186" t="str">
        <f ca="1">IF($B$15="","",$E$2&amp;"_"&amp;B48&amp;"添付書類②")</f>
        <v/>
      </c>
      <c r="D49" s="174" t="b">
        <f t="shared" ref="D49" ca="1" si="6">B48=""</f>
        <v>1</v>
      </c>
    </row>
    <row r="50" spans="1:4" ht="14.45" customHeight="1" thickBot="1">
      <c r="A50" s="1259"/>
      <c r="B50" s="1262"/>
      <c r="C50" s="1188" t="str">
        <f ca="1">IF($B$15="","",$E$2&amp;"_"&amp;B48&amp;"添付書類③")</f>
        <v/>
      </c>
      <c r="D50" s="174" t="b">
        <f t="shared" ref="D50" ca="1" si="7">D49</f>
        <v>1</v>
      </c>
    </row>
    <row r="51" spans="1:4" ht="14.45" customHeight="1">
      <c r="A51" s="1257" t="s">
        <v>1092</v>
      </c>
      <c r="B51" s="1260" t="str" cm="1">
        <f t="array" aca="1" ref="B51" ca="1">IFERROR(INDIRECT("F"&amp;SMALL($I$16:$I$28,ROW()/3-4)),"")</f>
        <v/>
      </c>
      <c r="C51" s="1184" t="str">
        <f ca="1">IF($B$15="","",$E$2&amp;"_"&amp;B51&amp;"添付書類①")</f>
        <v/>
      </c>
      <c r="D51" s="174" t="b">
        <f t="shared" ref="D51" ca="1" si="8">D49</f>
        <v>1</v>
      </c>
    </row>
    <row r="52" spans="1:4" ht="14.45" customHeight="1">
      <c r="A52" s="1258"/>
      <c r="B52" s="1261"/>
      <c r="C52" s="1186" t="str">
        <f ca="1">IF($B$15="","",$E$2&amp;"_"&amp;B51&amp;"添付書類②")</f>
        <v/>
      </c>
      <c r="D52" s="174" t="b">
        <f t="shared" ref="D52" ca="1" si="9">B51=""</f>
        <v>1</v>
      </c>
    </row>
    <row r="53" spans="1:4" ht="14.45" customHeight="1" thickBot="1">
      <c r="A53" s="1259"/>
      <c r="B53" s="1262"/>
      <c r="C53" s="1188" t="str">
        <f ca="1">IF($B$15="","",$E$2&amp;"_"&amp;B51&amp;"添付書類③")</f>
        <v/>
      </c>
      <c r="D53" s="174" t="b">
        <f t="shared" ref="D53" ca="1" si="10">D52</f>
        <v>1</v>
      </c>
    </row>
    <row r="57" spans="1:4" ht="13.5" customHeight="1"/>
    <row r="59" spans="1:4" ht="13.5" customHeight="1"/>
    <row r="61" spans="1:4" ht="13.5" customHeight="1"/>
    <row r="63" spans="1:4" ht="13.5" customHeight="1"/>
    <row r="70" ht="13.5" customHeight="1"/>
    <row r="79" ht="13.5" customHeight="1"/>
    <row r="80"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sheetData>
  <sheetProtection algorithmName="SHA-512" hashValue="MnOjrb6pdxqgdL4JwsozyI8yEt3fjXN4ZWiIorpKxRg7sD4wn7Ta2usjEmu2j8KaeLkZUlTCE2U5QJW5LuFcXg==" saltValue="9uYJEZEr40q97ZyEYB7m8A==" spinCount="100000" sheet="1" objects="1" scenarios="1"/>
  <mergeCells count="26">
    <mergeCell ref="A24:A26"/>
    <mergeCell ref="B24:B26"/>
    <mergeCell ref="A27:A29"/>
    <mergeCell ref="B27:B29"/>
    <mergeCell ref="A30:A32"/>
    <mergeCell ref="B30:B32"/>
    <mergeCell ref="A15:A17"/>
    <mergeCell ref="B15:B17"/>
    <mergeCell ref="A18:A20"/>
    <mergeCell ref="B18:B20"/>
    <mergeCell ref="A21:A23"/>
    <mergeCell ref="B21:B23"/>
    <mergeCell ref="A48:A50"/>
    <mergeCell ref="B48:B50"/>
    <mergeCell ref="A51:A53"/>
    <mergeCell ref="B51:B53"/>
    <mergeCell ref="A33:A35"/>
    <mergeCell ref="B33:B35"/>
    <mergeCell ref="A36:A38"/>
    <mergeCell ref="B36:B38"/>
    <mergeCell ref="A45:A47"/>
    <mergeCell ref="B45:B47"/>
    <mergeCell ref="A39:A41"/>
    <mergeCell ref="B39:B41"/>
    <mergeCell ref="A42:A44"/>
    <mergeCell ref="B42:B44"/>
  </mergeCells>
  <phoneticPr fontId="1"/>
  <pageMargins left="0.7" right="0.7" top="0.75" bottom="0.75" header="0.3" footer="0.3"/>
  <pageSetup paperSize="9" scale="76" orientation="portrait" r:id="rId1"/>
  <rowBreaks count="1" manualBreakCount="1">
    <brk id="56" max="2" man="1"/>
  </rowBreaks>
  <colBreaks count="1" manualBreakCount="1">
    <brk id="3" max="11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0000"/>
    <pageSetUpPr fitToPage="1"/>
  </sheetPr>
  <dimension ref="A1:BP330"/>
  <sheetViews>
    <sheetView view="pageBreakPreview" zoomScaleNormal="100" zoomScaleSheetLayoutView="100" workbookViewId="0">
      <selection activeCell="X12" sqref="X12"/>
    </sheetView>
  </sheetViews>
  <sheetFormatPr defaultColWidth="9" defaultRowHeight="12" outlineLevelRow="1" outlineLevelCol="1"/>
  <cols>
    <col min="1" max="21" width="2.875" style="87" customWidth="1"/>
    <col min="22" max="26" width="3.125" style="87" customWidth="1"/>
    <col min="27" max="27" width="4.25" style="87" customWidth="1"/>
    <col min="28" max="33" width="2.875" style="87" customWidth="1"/>
    <col min="34" max="34" width="58" style="87" customWidth="1"/>
    <col min="35" max="35" width="9.5" style="87" hidden="1" customWidth="1" outlineLevel="1"/>
    <col min="36" max="38" width="9" style="87" hidden="1" customWidth="1" outlineLevel="1"/>
    <col min="39" max="39" width="13.25" style="87" hidden="1" customWidth="1" outlineLevel="1"/>
    <col min="40" max="63" width="9" style="87" hidden="1" customWidth="1" outlineLevel="1"/>
    <col min="64" max="64" width="9" style="87" collapsed="1"/>
    <col min="65" max="16384" width="9" style="87"/>
  </cols>
  <sheetData>
    <row r="1" spans="1:52" ht="15" customHeight="1" thickBot="1">
      <c r="A1" s="827" t="s">
        <v>405</v>
      </c>
      <c r="B1" s="828"/>
      <c r="C1" s="828"/>
      <c r="D1" s="828"/>
      <c r="E1" s="828"/>
      <c r="F1" s="828"/>
      <c r="G1" s="828"/>
      <c r="H1" s="828"/>
      <c r="I1" s="829"/>
      <c r="J1" s="829"/>
      <c r="K1" s="829"/>
      <c r="L1" s="829"/>
      <c r="M1" s="829"/>
      <c r="N1" s="829"/>
      <c r="O1" s="829"/>
      <c r="P1" s="829"/>
      <c r="Q1" s="829"/>
      <c r="R1" s="829"/>
      <c r="S1" s="829"/>
      <c r="T1" s="829"/>
      <c r="U1" s="829"/>
      <c r="V1" s="829"/>
      <c r="W1" s="829"/>
      <c r="X1" s="1483" t="str">
        <f>AJ2&amp;"様式1"&amp;AJ3</f>
        <v>加-25_4月申-様式1-幼_Ver.4.00</v>
      </c>
      <c r="Y1" s="1483"/>
      <c r="Z1" s="1483"/>
      <c r="AA1" s="1483"/>
      <c r="AB1" s="1483"/>
      <c r="AC1" s="1483"/>
      <c r="AD1" s="1483"/>
      <c r="AE1" s="1483"/>
      <c r="AF1" s="1483"/>
      <c r="AG1" s="1484"/>
      <c r="AJ1" s="90" t="s">
        <v>482</v>
      </c>
      <c r="AK1" s="88" t="s">
        <v>100</v>
      </c>
      <c r="AL1" s="1463" t="s">
        <v>108</v>
      </c>
      <c r="AM1" s="1474"/>
      <c r="AN1" s="89" t="s">
        <v>107</v>
      </c>
      <c r="AO1" s="89" t="s">
        <v>276</v>
      </c>
      <c r="AP1" s="90" t="s">
        <v>287</v>
      </c>
      <c r="AQ1" s="91" t="s">
        <v>166</v>
      </c>
      <c r="AR1" s="90" t="s">
        <v>106</v>
      </c>
      <c r="AS1" s="90" t="s">
        <v>109</v>
      </c>
      <c r="AT1" s="1463" t="s">
        <v>110</v>
      </c>
      <c r="AU1" s="1464"/>
      <c r="AV1" s="964"/>
      <c r="AW1" s="90" t="s">
        <v>322</v>
      </c>
      <c r="AX1" s="90" t="s">
        <v>568</v>
      </c>
      <c r="AY1" s="89" t="s">
        <v>569</v>
      </c>
      <c r="AZ1" s="90" t="s">
        <v>998</v>
      </c>
    </row>
    <row r="2" spans="1:52" ht="15" customHeight="1" thickTop="1" thickBot="1">
      <c r="A2" s="714"/>
      <c r="B2" s="715"/>
      <c r="C2" s="715"/>
      <c r="D2" s="715"/>
      <c r="E2" s="715"/>
      <c r="F2" s="715"/>
      <c r="G2" s="715"/>
      <c r="H2" s="715"/>
      <c r="I2" s="716"/>
      <c r="J2" s="716"/>
      <c r="K2" s="716"/>
      <c r="L2" s="716"/>
      <c r="M2" s="716"/>
      <c r="N2" s="716"/>
      <c r="O2" s="716"/>
      <c r="P2" s="716"/>
      <c r="Q2" s="716"/>
      <c r="R2" s="716"/>
      <c r="S2" s="716"/>
      <c r="T2" s="716"/>
      <c r="U2" s="716"/>
      <c r="V2" s="716"/>
      <c r="W2" s="716"/>
      <c r="X2" s="715"/>
      <c r="Y2" s="715"/>
      <c r="Z2" s="715"/>
      <c r="AA2" s="715"/>
      <c r="AB2" s="715"/>
      <c r="AC2" s="598"/>
      <c r="AD2" s="598"/>
      <c r="AE2" s="598"/>
      <c r="AF2" s="598"/>
      <c r="AG2" s="717"/>
      <c r="AJ2" s="89" t="str">
        <f>"加-"&amp;MID($AK$2,3,2)&amp;"_"&amp;$I$10&amp;"月"&amp;"申-"</f>
        <v>加-25_4月申-</v>
      </c>
      <c r="AK2" s="1087">
        <v>2025</v>
      </c>
      <c r="AL2" s="91"/>
      <c r="AM2" s="90"/>
      <c r="AN2" s="89"/>
      <c r="AO2" s="89"/>
      <c r="AP2" s="90" t="s">
        <v>1005</v>
      </c>
      <c r="AQ2" s="92"/>
      <c r="AR2" s="91"/>
      <c r="AS2" s="93"/>
      <c r="AT2" s="90">
        <v>0</v>
      </c>
      <c r="AU2" s="108">
        <v>1</v>
      </c>
      <c r="AV2" s="108"/>
      <c r="AW2" s="90"/>
      <c r="AX2" s="90"/>
      <c r="AY2" s="89"/>
      <c r="AZ2" s="90"/>
    </row>
    <row r="3" spans="1:52" ht="15" customHeight="1" thickTop="1">
      <c r="A3" s="1477" t="str">
        <f>+AK2&amp;"年度施設型給付費等にかかる加算（調整）適用申請書"</f>
        <v>2025年度施設型給付費等にかかる加算（調整）適用申請書</v>
      </c>
      <c r="B3" s="1478"/>
      <c r="C3" s="1478"/>
      <c r="D3" s="1478"/>
      <c r="E3" s="1478"/>
      <c r="F3" s="1478"/>
      <c r="G3" s="1478"/>
      <c r="H3" s="1478"/>
      <c r="I3" s="1478"/>
      <c r="J3" s="1478"/>
      <c r="K3" s="1478"/>
      <c r="L3" s="1478"/>
      <c r="M3" s="1478"/>
      <c r="N3" s="1478"/>
      <c r="O3" s="1478"/>
      <c r="P3" s="1478"/>
      <c r="Q3" s="1478"/>
      <c r="R3" s="1478"/>
      <c r="S3" s="1478"/>
      <c r="T3" s="1478"/>
      <c r="U3" s="1478"/>
      <c r="V3" s="1478"/>
      <c r="W3" s="1478"/>
      <c r="X3" s="1478"/>
      <c r="Y3" s="1478"/>
      <c r="Z3" s="1478"/>
      <c r="AA3" s="1478"/>
      <c r="AB3" s="1478"/>
      <c r="AC3" s="1478"/>
      <c r="AD3" s="1478"/>
      <c r="AE3" s="715"/>
      <c r="AF3" s="715"/>
      <c r="AG3" s="718"/>
      <c r="AJ3" s="90" t="str">
        <f>"-"&amp;MID(AP2,3,1)&amp;IFERROR(VLOOKUP($D$12,'施設状況(要更新)'!$F$4:$S$600,14,FALSE),"")&amp;"_Ver."&amp;TEXT(ver!$B$18,"#.00")</f>
        <v>-幼_Ver.4.00</v>
      </c>
      <c r="AL3" s="94">
        <v>4</v>
      </c>
      <c r="AM3" s="94">
        <v>1</v>
      </c>
      <c r="AN3" s="95" t="s">
        <v>86</v>
      </c>
      <c r="AO3" s="94" t="s">
        <v>277</v>
      </c>
      <c r="AP3" s="96"/>
      <c r="AQ3" s="97" t="s">
        <v>164</v>
      </c>
      <c r="AR3" s="91" t="s">
        <v>104</v>
      </c>
      <c r="AS3" s="98">
        <v>1</v>
      </c>
      <c r="AT3" s="98" t="s">
        <v>185</v>
      </c>
      <c r="AU3" s="89">
        <v>1</v>
      </c>
      <c r="AV3" s="89" t="s">
        <v>424</v>
      </c>
      <c r="AW3" s="90">
        <v>1</v>
      </c>
      <c r="AX3" s="90">
        <v>1</v>
      </c>
      <c r="AY3" s="89" t="s">
        <v>570</v>
      </c>
      <c r="AZ3" s="90" t="s">
        <v>999</v>
      </c>
    </row>
    <row r="4" spans="1:52" ht="15" customHeight="1">
      <c r="A4" s="714"/>
      <c r="B4" s="715"/>
      <c r="C4" s="715"/>
      <c r="D4" s="715"/>
      <c r="E4" s="715"/>
      <c r="F4" s="715"/>
      <c r="G4" s="715"/>
      <c r="H4" s="715"/>
      <c r="I4" s="715"/>
      <c r="J4" s="715"/>
      <c r="K4" s="715"/>
      <c r="L4" s="715"/>
      <c r="M4" s="715"/>
      <c r="N4" s="715"/>
      <c r="O4" s="715"/>
      <c r="P4" s="715"/>
      <c r="Q4" s="715"/>
      <c r="R4" s="715"/>
      <c r="S4" s="715"/>
      <c r="T4" s="715"/>
      <c r="U4" s="715"/>
      <c r="V4" s="715"/>
      <c r="W4" s="1479">
        <f>VLOOKUP(I10,$AL$18:$AM$30,2,0)</f>
        <v>45820</v>
      </c>
      <c r="X4" s="1479"/>
      <c r="Y4" s="1479"/>
      <c r="Z4" s="1479"/>
      <c r="AA4" s="1479"/>
      <c r="AB4" s="1479"/>
      <c r="AC4" s="1479"/>
      <c r="AD4" s="1479"/>
      <c r="AE4" s="715"/>
      <c r="AF4" s="715"/>
      <c r="AG4" s="718"/>
      <c r="AL4" s="94">
        <v>5</v>
      </c>
      <c r="AM4" s="94">
        <v>2</v>
      </c>
      <c r="AN4" s="95" t="s">
        <v>171</v>
      </c>
      <c r="AO4" s="94" t="s">
        <v>278</v>
      </c>
      <c r="AP4" s="96"/>
      <c r="AQ4" s="97" t="s">
        <v>165</v>
      </c>
      <c r="AR4" s="91" t="s">
        <v>105</v>
      </c>
      <c r="AS4" s="98">
        <v>2</v>
      </c>
      <c r="AT4" s="98" t="s">
        <v>71</v>
      </c>
      <c r="AU4" s="89">
        <v>2</v>
      </c>
      <c r="AV4" s="89" t="s">
        <v>425</v>
      </c>
      <c r="AW4" s="90">
        <v>2</v>
      </c>
      <c r="AX4" s="90">
        <v>2</v>
      </c>
      <c r="AY4" s="89" t="s">
        <v>571</v>
      </c>
      <c r="AZ4" s="90" t="s">
        <v>1000</v>
      </c>
    </row>
    <row r="5" spans="1:52" ht="15" customHeight="1">
      <c r="A5" s="714" t="s">
        <v>87</v>
      </c>
      <c r="B5" s="715"/>
      <c r="C5" s="715"/>
      <c r="D5" s="715"/>
      <c r="E5" s="715"/>
      <c r="F5" s="715"/>
      <c r="G5" s="715"/>
      <c r="H5" s="715"/>
      <c r="I5" s="715"/>
      <c r="J5" s="715"/>
      <c r="K5" s="715"/>
      <c r="L5" s="715"/>
      <c r="M5" s="715"/>
      <c r="N5" s="715"/>
      <c r="O5" s="715"/>
      <c r="P5" s="715"/>
      <c r="Q5" s="715"/>
      <c r="R5" s="715"/>
      <c r="S5" s="715"/>
      <c r="T5" s="715"/>
      <c r="U5" s="715"/>
      <c r="V5" s="715"/>
      <c r="W5" s="715"/>
      <c r="X5" s="715"/>
      <c r="Y5" s="715"/>
      <c r="Z5" s="715"/>
      <c r="AA5" s="715"/>
      <c r="AB5" s="715"/>
      <c r="AC5" s="715"/>
      <c r="AD5" s="715"/>
      <c r="AE5" s="715"/>
      <c r="AF5" s="715"/>
      <c r="AG5" s="718"/>
      <c r="AL5" s="94">
        <v>6</v>
      </c>
      <c r="AM5" s="94">
        <v>3</v>
      </c>
      <c r="AN5" s="99"/>
      <c r="AO5" s="94" t="s">
        <v>279</v>
      </c>
      <c r="AP5" s="74"/>
      <c r="AQ5" s="99"/>
      <c r="AS5" s="98">
        <v>3</v>
      </c>
      <c r="AT5" s="98" t="s">
        <v>72</v>
      </c>
      <c r="AU5" s="89">
        <v>3</v>
      </c>
      <c r="AV5" s="89" t="s">
        <v>423</v>
      </c>
      <c r="AW5" s="90">
        <v>3</v>
      </c>
      <c r="AX5" s="90">
        <v>3</v>
      </c>
      <c r="AZ5" s="90" t="s">
        <v>1001</v>
      </c>
    </row>
    <row r="6" spans="1:52" ht="15" customHeight="1">
      <c r="A6" s="714"/>
      <c r="B6" s="715"/>
      <c r="C6" s="715"/>
      <c r="D6" s="715"/>
      <c r="E6" s="715"/>
      <c r="F6" s="715"/>
      <c r="G6" s="715"/>
      <c r="H6" s="715"/>
      <c r="I6" s="715"/>
      <c r="J6" s="715"/>
      <c r="K6" s="715"/>
      <c r="L6" s="715"/>
      <c r="M6" s="715"/>
      <c r="N6" s="715"/>
      <c r="O6" s="715"/>
      <c r="P6" s="1271" t="s">
        <v>10</v>
      </c>
      <c r="Q6" s="1272"/>
      <c r="R6" s="1272"/>
      <c r="S6" s="2576"/>
      <c r="T6" s="2577"/>
      <c r="U6" s="2577"/>
      <c r="V6" s="2577"/>
      <c r="W6" s="2577"/>
      <c r="X6" s="2577"/>
      <c r="Y6" s="2577"/>
      <c r="Z6" s="2577"/>
      <c r="AA6" s="2577"/>
      <c r="AB6" s="2577"/>
      <c r="AC6" s="2577"/>
      <c r="AD6" s="2578"/>
      <c r="AE6" s="719"/>
      <c r="AF6" s="715"/>
      <c r="AG6" s="718"/>
      <c r="AL6" s="94">
        <v>7</v>
      </c>
      <c r="AM6" s="94">
        <v>4</v>
      </c>
      <c r="AN6" s="99"/>
      <c r="AO6" s="94" t="s">
        <v>280</v>
      </c>
      <c r="AP6" s="74"/>
      <c r="AQ6" s="99"/>
      <c r="AS6" s="98">
        <v>3.5</v>
      </c>
      <c r="AT6" s="98" t="s">
        <v>73</v>
      </c>
      <c r="AU6" s="89">
        <v>4</v>
      </c>
      <c r="AV6" s="89" t="s">
        <v>426</v>
      </c>
      <c r="AW6" s="90">
        <v>4</v>
      </c>
      <c r="AX6" s="90">
        <v>4</v>
      </c>
      <c r="AZ6" s="90" t="s">
        <v>1002</v>
      </c>
    </row>
    <row r="7" spans="1:52" ht="15" customHeight="1">
      <c r="A7" s="714"/>
      <c r="B7" s="715"/>
      <c r="C7" s="715"/>
      <c r="D7" s="715"/>
      <c r="E7" s="715"/>
      <c r="F7" s="715"/>
      <c r="G7" s="715"/>
      <c r="H7" s="715"/>
      <c r="I7" s="715"/>
      <c r="J7" s="715"/>
      <c r="K7" s="715"/>
      <c r="L7" s="715"/>
      <c r="M7" s="715"/>
      <c r="N7" s="715"/>
      <c r="O7" s="715"/>
      <c r="P7" s="1266" t="s">
        <v>11</v>
      </c>
      <c r="Q7" s="1267"/>
      <c r="R7" s="1267"/>
      <c r="S7" s="2576"/>
      <c r="T7" s="2577"/>
      <c r="U7" s="2577"/>
      <c r="V7" s="2577"/>
      <c r="W7" s="2577"/>
      <c r="X7" s="2577"/>
      <c r="Y7" s="2577"/>
      <c r="Z7" s="2577"/>
      <c r="AA7" s="2577"/>
      <c r="AB7" s="2577"/>
      <c r="AC7" s="2577"/>
      <c r="AD7" s="2578"/>
      <c r="AE7" s="719"/>
      <c r="AF7" s="715"/>
      <c r="AG7" s="718"/>
      <c r="AL7" s="94">
        <v>8</v>
      </c>
      <c r="AM7" s="94">
        <v>5</v>
      </c>
      <c r="AN7" s="99"/>
      <c r="AO7" s="94" t="s">
        <v>281</v>
      </c>
      <c r="AP7" s="74"/>
      <c r="AQ7" s="99"/>
      <c r="AS7" s="98">
        <v>4</v>
      </c>
      <c r="AT7" s="98" t="s">
        <v>74</v>
      </c>
      <c r="AU7" s="89">
        <v>5</v>
      </c>
      <c r="AV7" s="89"/>
      <c r="AW7" s="90">
        <v>5</v>
      </c>
      <c r="AX7" s="90">
        <v>5</v>
      </c>
    </row>
    <row r="8" spans="1:52" ht="15" customHeight="1">
      <c r="A8" s="714" t="str">
        <f>+"　"&amp;AK2&amp;"年度において、下記のとおり申請します。"</f>
        <v>　2025年度において、下記のとおり申請します。</v>
      </c>
      <c r="B8" s="715"/>
      <c r="C8" s="715"/>
      <c r="D8" s="715"/>
      <c r="E8" s="715"/>
      <c r="F8" s="715"/>
      <c r="G8" s="715"/>
      <c r="H8" s="715"/>
      <c r="I8" s="715"/>
      <c r="J8" s="715"/>
      <c r="K8" s="715"/>
      <c r="L8" s="715"/>
      <c r="M8" s="715"/>
      <c r="N8" s="715"/>
      <c r="O8" s="715"/>
      <c r="P8" s="715"/>
      <c r="Q8" s="715"/>
      <c r="R8" s="715"/>
      <c r="S8" s="715"/>
      <c r="T8" s="715"/>
      <c r="U8" s="715"/>
      <c r="V8" s="715"/>
      <c r="W8" s="715"/>
      <c r="X8" s="715"/>
      <c r="Y8" s="715"/>
      <c r="Z8" s="715"/>
      <c r="AA8" s="715"/>
      <c r="AB8" s="715"/>
      <c r="AC8" s="715"/>
      <c r="AD8" s="715"/>
      <c r="AE8" s="715"/>
      <c r="AF8" s="715"/>
      <c r="AG8" s="718"/>
      <c r="AL8" s="94">
        <v>9</v>
      </c>
      <c r="AM8" s="94">
        <v>6</v>
      </c>
      <c r="AN8" s="99"/>
      <c r="AO8" s="94" t="s">
        <v>282</v>
      </c>
      <c r="AP8" s="74"/>
      <c r="AQ8" s="99"/>
      <c r="AS8" s="98">
        <v>4.5</v>
      </c>
      <c r="AT8" s="98" t="s">
        <v>75</v>
      </c>
      <c r="AU8" s="89">
        <v>6</v>
      </c>
      <c r="AV8" s="89"/>
      <c r="AW8" s="90">
        <v>6</v>
      </c>
      <c r="AX8" s="90">
        <v>6</v>
      </c>
    </row>
    <row r="9" spans="1:52" ht="15" customHeight="1">
      <c r="A9" s="1480" t="s">
        <v>37</v>
      </c>
      <c r="B9" s="1481"/>
      <c r="C9" s="1481"/>
      <c r="D9" s="1481"/>
      <c r="E9" s="1481"/>
      <c r="F9" s="1481"/>
      <c r="G9" s="1481"/>
      <c r="H9" s="1481"/>
      <c r="I9" s="1481"/>
      <c r="J9" s="1481"/>
      <c r="K9" s="1481"/>
      <c r="L9" s="1481"/>
      <c r="M9" s="1481"/>
      <c r="N9" s="1481"/>
      <c r="O9" s="1481"/>
      <c r="P9" s="1481"/>
      <c r="Q9" s="1481"/>
      <c r="R9" s="1481"/>
      <c r="S9" s="1481"/>
      <c r="T9" s="1481"/>
      <c r="U9" s="1481"/>
      <c r="V9" s="1481"/>
      <c r="W9" s="1481"/>
      <c r="X9" s="1481"/>
      <c r="Y9" s="1481"/>
      <c r="Z9" s="1481"/>
      <c r="AA9" s="1481"/>
      <c r="AB9" s="1481"/>
      <c r="AC9" s="1481"/>
      <c r="AD9" s="1481"/>
      <c r="AE9" s="1481"/>
      <c r="AF9" s="1481"/>
      <c r="AG9" s="1482"/>
      <c r="AL9" s="94">
        <v>10</v>
      </c>
      <c r="AM9" s="94">
        <v>7</v>
      </c>
      <c r="AN9" s="99"/>
      <c r="AO9" s="94" t="s">
        <v>283</v>
      </c>
      <c r="AP9" s="74"/>
      <c r="AQ9" s="99"/>
      <c r="AS9" s="98">
        <v>5</v>
      </c>
      <c r="AT9" s="98" t="s">
        <v>76</v>
      </c>
      <c r="AU9" s="89">
        <v>7</v>
      </c>
      <c r="AV9" s="89"/>
      <c r="AW9" s="90">
        <v>7</v>
      </c>
      <c r="AX9" s="90">
        <v>7</v>
      </c>
    </row>
    <row r="10" spans="1:52" ht="15" customHeight="1">
      <c r="A10" s="1333" t="s">
        <v>288</v>
      </c>
      <c r="B10" s="1295"/>
      <c r="C10" s="1296"/>
      <c r="D10" s="1294">
        <f>IF(I10&gt;=4,$AK$2,IF(AND($I$10&gt;0,$I$10&lt;=3),$AK$2+1,""))</f>
        <v>2025</v>
      </c>
      <c r="E10" s="1295"/>
      <c r="F10" s="1295"/>
      <c r="G10" s="1295" t="s">
        <v>101</v>
      </c>
      <c r="H10" s="1295"/>
      <c r="I10" s="1316">
        <v>4</v>
      </c>
      <c r="J10" s="1316"/>
      <c r="K10" s="1316"/>
      <c r="L10" s="1295" t="s">
        <v>88</v>
      </c>
      <c r="M10" s="1295"/>
      <c r="N10" s="1296"/>
      <c r="O10" s="715"/>
      <c r="P10" s="715"/>
      <c r="Q10" s="715"/>
      <c r="R10" s="715"/>
      <c r="S10" s="715"/>
      <c r="T10" s="715"/>
      <c r="U10" s="715"/>
      <c r="V10" s="715"/>
      <c r="W10" s="715"/>
      <c r="X10" s="715"/>
      <c r="Y10" s="715"/>
      <c r="Z10" s="715"/>
      <c r="AA10" s="715"/>
      <c r="AB10" s="715"/>
      <c r="AC10" s="715"/>
      <c r="AD10" s="715"/>
      <c r="AE10" s="715"/>
      <c r="AF10" s="715"/>
      <c r="AG10" s="718"/>
      <c r="AL10" s="94">
        <v>11</v>
      </c>
      <c r="AM10" s="94">
        <v>8</v>
      </c>
      <c r="AO10" s="90" t="s">
        <v>284</v>
      </c>
      <c r="AP10" s="73"/>
      <c r="AS10" s="98">
        <v>5.5</v>
      </c>
      <c r="AT10" s="98" t="s">
        <v>77</v>
      </c>
      <c r="AU10" s="89">
        <v>8</v>
      </c>
      <c r="AV10" s="89"/>
      <c r="AW10" s="90">
        <v>8</v>
      </c>
      <c r="AX10" s="90">
        <v>8</v>
      </c>
    </row>
    <row r="11" spans="1:52" ht="15" customHeight="1">
      <c r="A11" s="1309" t="s">
        <v>274</v>
      </c>
      <c r="B11" s="1310"/>
      <c r="C11" s="1310"/>
      <c r="D11" s="2575"/>
      <c r="E11" s="2575"/>
      <c r="F11" s="2575"/>
      <c r="G11" s="2575"/>
      <c r="H11" s="2575"/>
      <c r="I11" s="2575"/>
      <c r="J11" s="2575"/>
      <c r="K11" s="2575"/>
      <c r="L11" s="2575"/>
      <c r="M11" s="2575"/>
      <c r="N11" s="2575"/>
      <c r="O11" s="715"/>
      <c r="P11" s="715"/>
      <c r="Q11" s="715"/>
      <c r="R11" s="715"/>
      <c r="S11" s="715"/>
      <c r="T11" s="715"/>
      <c r="U11" s="715"/>
      <c r="V11" s="715"/>
      <c r="W11" s="715"/>
      <c r="X11" s="715"/>
      <c r="Y11" s="715"/>
      <c r="Z11" s="715"/>
      <c r="AA11" s="715"/>
      <c r="AB11" s="715"/>
      <c r="AC11" s="715"/>
      <c r="AD11" s="715"/>
      <c r="AE11" s="715"/>
      <c r="AF11" s="715"/>
      <c r="AG11" s="718"/>
      <c r="AL11" s="94">
        <v>12</v>
      </c>
      <c r="AM11" s="94">
        <v>9</v>
      </c>
      <c r="AO11" s="90" t="s">
        <v>285</v>
      </c>
      <c r="AP11" s="73"/>
      <c r="AS11" s="98">
        <v>6</v>
      </c>
      <c r="AT11" s="98" t="s">
        <v>78</v>
      </c>
      <c r="AU11" s="89">
        <v>9</v>
      </c>
      <c r="AV11" s="89"/>
      <c r="AW11" s="90">
        <v>9</v>
      </c>
      <c r="AX11" s="90">
        <v>9</v>
      </c>
    </row>
    <row r="12" spans="1:52" ht="15" customHeight="1">
      <c r="A12" s="1328" t="s">
        <v>275</v>
      </c>
      <c r="B12" s="1329"/>
      <c r="C12" s="1329"/>
      <c r="D12" s="2575"/>
      <c r="E12" s="2575"/>
      <c r="F12" s="2575"/>
      <c r="G12" s="2575"/>
      <c r="H12" s="2575"/>
      <c r="I12" s="2575"/>
      <c r="J12" s="2575"/>
      <c r="K12" s="2575"/>
      <c r="L12" s="2575"/>
      <c r="M12" s="2575"/>
      <c r="N12" s="2575"/>
      <c r="O12" s="720"/>
      <c r="P12" s="721"/>
      <c r="Q12" s="721"/>
      <c r="R12" s="721"/>
      <c r="S12" s="721"/>
      <c r="T12" s="721"/>
      <c r="U12" s="721"/>
      <c r="V12" s="721"/>
      <c r="W12" s="721"/>
      <c r="X12" s="721"/>
      <c r="Y12" s="721"/>
      <c r="Z12" s="721"/>
      <c r="AA12" s="721"/>
      <c r="AB12" s="721"/>
      <c r="AC12" s="721"/>
      <c r="AD12" s="721"/>
      <c r="AE12" s="721"/>
      <c r="AF12" s="721"/>
      <c r="AG12" s="717"/>
      <c r="AL12" s="94">
        <v>1</v>
      </c>
      <c r="AM12" s="94">
        <v>10</v>
      </c>
      <c r="AO12" s="90" t="s">
        <v>286</v>
      </c>
      <c r="AP12" s="73"/>
      <c r="AS12" s="98">
        <v>6.5</v>
      </c>
      <c r="AT12" s="98" t="s">
        <v>79</v>
      </c>
      <c r="AU12" s="89">
        <v>10</v>
      </c>
      <c r="AV12" s="89"/>
      <c r="AW12" s="90">
        <v>10</v>
      </c>
      <c r="AX12" s="90">
        <v>10</v>
      </c>
    </row>
    <row r="13" spans="1:52" ht="15" customHeight="1">
      <c r="A13" s="1309" t="s">
        <v>38</v>
      </c>
      <c r="B13" s="1310"/>
      <c r="C13" s="1310"/>
      <c r="D13" s="2576"/>
      <c r="E13" s="2577"/>
      <c r="F13" s="2577"/>
      <c r="G13" s="2577"/>
      <c r="H13" s="2577"/>
      <c r="I13" s="2577"/>
      <c r="J13" s="2577"/>
      <c r="K13" s="2577"/>
      <c r="L13" s="2577"/>
      <c r="M13" s="2577"/>
      <c r="N13" s="2577"/>
      <c r="O13" s="2577"/>
      <c r="P13" s="2577"/>
      <c r="Q13" s="2577"/>
      <c r="R13" s="2577"/>
      <c r="S13" s="2577"/>
      <c r="T13" s="2577"/>
      <c r="U13" s="2577"/>
      <c r="V13" s="2577"/>
      <c r="W13" s="2577"/>
      <c r="X13" s="2577"/>
      <c r="Y13" s="2577"/>
      <c r="Z13" s="2577"/>
      <c r="AA13" s="2577"/>
      <c r="AB13" s="2577"/>
      <c r="AC13" s="2577"/>
      <c r="AD13" s="2577"/>
      <c r="AE13" s="2577"/>
      <c r="AF13" s="2578"/>
      <c r="AG13" s="722"/>
      <c r="AL13" s="90">
        <v>2</v>
      </c>
      <c r="AM13" s="94">
        <v>11</v>
      </c>
      <c r="AS13" s="98">
        <v>7</v>
      </c>
      <c r="AT13" s="98" t="s">
        <v>80</v>
      </c>
      <c r="AU13" s="89">
        <v>11</v>
      </c>
      <c r="AV13" s="89"/>
      <c r="AW13" s="90">
        <v>11</v>
      </c>
      <c r="AX13" s="90">
        <v>11</v>
      </c>
    </row>
    <row r="14" spans="1:52" ht="15" customHeight="1">
      <c r="A14" s="1309" t="s">
        <v>0</v>
      </c>
      <c r="B14" s="1310"/>
      <c r="C14" s="1310"/>
      <c r="D14" s="2579"/>
      <c r="E14" s="2580"/>
      <c r="F14" s="2580"/>
      <c r="G14" s="2580"/>
      <c r="H14" s="723" t="s">
        <v>39</v>
      </c>
      <c r="I14" s="715"/>
      <c r="J14" s="715"/>
      <c r="K14" s="715"/>
      <c r="L14" s="715"/>
      <c r="M14" s="715"/>
      <c r="N14" s="715"/>
      <c r="O14" s="715"/>
      <c r="P14" s="715"/>
      <c r="Q14" s="715"/>
      <c r="R14" s="715"/>
      <c r="S14" s="715"/>
      <c r="T14" s="715"/>
      <c r="U14" s="715"/>
      <c r="V14" s="715"/>
      <c r="W14" s="715"/>
      <c r="X14" s="715"/>
      <c r="Y14" s="715"/>
      <c r="Z14" s="715"/>
      <c r="AA14" s="715"/>
      <c r="AB14" s="715"/>
      <c r="AC14" s="715"/>
      <c r="AD14" s="715"/>
      <c r="AE14" s="715"/>
      <c r="AF14" s="715"/>
      <c r="AG14" s="718"/>
      <c r="AI14" s="90" t="e">
        <f>VLOOKUP($D$12,'施設状況(要更新)'!$F$4:$S$600,6,FALSE)</f>
        <v>#N/A</v>
      </c>
      <c r="AL14" s="90">
        <v>3</v>
      </c>
      <c r="AM14" s="94">
        <v>12</v>
      </c>
      <c r="AS14" s="98">
        <v>7.5</v>
      </c>
      <c r="AT14" s="98" t="s">
        <v>81</v>
      </c>
      <c r="AU14" s="89">
        <v>12</v>
      </c>
      <c r="AV14" s="89"/>
      <c r="AW14" s="90">
        <v>12</v>
      </c>
      <c r="AX14" s="90">
        <v>12</v>
      </c>
    </row>
    <row r="15" spans="1:52" ht="15" customHeight="1" thickBot="1">
      <c r="A15" s="1317" t="s">
        <v>290</v>
      </c>
      <c r="B15" s="1318"/>
      <c r="C15" s="1318"/>
      <c r="D15" s="1318"/>
      <c r="E15" s="1318"/>
      <c r="F15" s="1318"/>
      <c r="G15" s="1318"/>
      <c r="H15" s="1318"/>
      <c r="I15" s="1318"/>
      <c r="J15" s="1318"/>
      <c r="K15" s="1318"/>
      <c r="L15" s="1318"/>
      <c r="M15" s="1318"/>
      <c r="N15" s="1318"/>
      <c r="O15" s="1318"/>
      <c r="P15" s="1318"/>
      <c r="Q15" s="1318"/>
      <c r="R15" s="1318"/>
      <c r="S15" s="1318"/>
      <c r="T15" s="1318"/>
      <c r="U15" s="1318"/>
      <c r="V15" s="1318"/>
      <c r="W15" s="1318"/>
      <c r="X15" s="1318"/>
      <c r="Y15" s="1318"/>
      <c r="Z15" s="1318"/>
      <c r="AA15" s="1318"/>
      <c r="AB15" s="1318"/>
      <c r="AC15" s="1318"/>
      <c r="AD15" s="1318"/>
      <c r="AE15" s="1318"/>
      <c r="AF15" s="1318"/>
      <c r="AG15" s="718"/>
      <c r="AL15" s="90">
        <v>0</v>
      </c>
      <c r="AM15" s="90">
        <v>0</v>
      </c>
      <c r="AS15" s="98">
        <v>8</v>
      </c>
      <c r="AT15" s="90">
        <v>0</v>
      </c>
      <c r="AU15" s="89">
        <v>13</v>
      </c>
      <c r="AV15" s="89"/>
      <c r="AW15" s="90">
        <v>13</v>
      </c>
      <c r="AX15" s="90">
        <v>13</v>
      </c>
    </row>
    <row r="16" spans="1:52" ht="24.95" customHeight="1" thickBot="1">
      <c r="A16" s="724" t="s">
        <v>102</v>
      </c>
      <c r="B16" s="1325" t="s">
        <v>120</v>
      </c>
      <c r="C16" s="1326"/>
      <c r="D16" s="1326"/>
      <c r="E16" s="1327"/>
      <c r="F16" s="1322" t="s">
        <v>40</v>
      </c>
      <c r="G16" s="1323"/>
      <c r="H16" s="1323"/>
      <c r="I16" s="1323"/>
      <c r="J16" s="1323"/>
      <c r="K16" s="1323"/>
      <c r="L16" s="1323"/>
      <c r="M16" s="1323"/>
      <c r="N16" s="1323"/>
      <c r="O16" s="1323"/>
      <c r="P16" s="1323"/>
      <c r="Q16" s="1323"/>
      <c r="R16" s="1323"/>
      <c r="S16" s="1323"/>
      <c r="T16" s="1323"/>
      <c r="U16" s="1324"/>
      <c r="V16" s="1471" t="s">
        <v>209</v>
      </c>
      <c r="W16" s="1472"/>
      <c r="X16" s="1472"/>
      <c r="Y16" s="1473"/>
      <c r="Z16" s="1322" t="s">
        <v>41</v>
      </c>
      <c r="AA16" s="1323"/>
      <c r="AB16" s="1323"/>
      <c r="AC16" s="1323"/>
      <c r="AD16" s="1323"/>
      <c r="AE16" s="1323"/>
      <c r="AF16" s="1324"/>
      <c r="AG16" s="718"/>
      <c r="AI16" s="1681" t="s">
        <v>211</v>
      </c>
      <c r="AJ16" s="1682"/>
      <c r="AW16" s="90">
        <v>14</v>
      </c>
      <c r="AX16" s="90">
        <v>14</v>
      </c>
    </row>
    <row r="17" spans="1:50" ht="15" customHeight="1" thickBot="1">
      <c r="A17" s="725">
        <v>0</v>
      </c>
      <c r="B17" s="1319" t="str">
        <f>AI17</f>
        <v>×</v>
      </c>
      <c r="C17" s="1320"/>
      <c r="D17" s="1320"/>
      <c r="E17" s="1321"/>
      <c r="F17" s="1476" t="s">
        <v>298</v>
      </c>
      <c r="G17" s="1428"/>
      <c r="H17" s="1428"/>
      <c r="I17" s="1428"/>
      <c r="J17" s="1428"/>
      <c r="K17" s="1428"/>
      <c r="L17" s="1428"/>
      <c r="M17" s="1428"/>
      <c r="N17" s="1428"/>
      <c r="O17" s="1428"/>
      <c r="P17" s="1428"/>
      <c r="Q17" s="1428"/>
      <c r="R17" s="1428"/>
      <c r="S17" s="1428"/>
      <c r="T17" s="1428"/>
      <c r="U17" s="1429"/>
      <c r="V17" s="1306"/>
      <c r="W17" s="1307"/>
      <c r="X17" s="1307"/>
      <c r="Y17" s="1308"/>
      <c r="Z17" s="1294"/>
      <c r="AA17" s="1295"/>
      <c r="AB17" s="1295"/>
      <c r="AC17" s="1295"/>
      <c r="AD17" s="1295"/>
      <c r="AE17" s="1295"/>
      <c r="AF17" s="1296"/>
      <c r="AG17" s="718"/>
      <c r="AI17" s="1681" t="str">
        <f>J55</f>
        <v>×</v>
      </c>
      <c r="AJ17" s="1682"/>
      <c r="AL17" s="1731" t="s">
        <v>1058</v>
      </c>
      <c r="AM17" s="1731"/>
      <c r="AW17" s="90">
        <v>15</v>
      </c>
      <c r="AX17" s="90">
        <v>15</v>
      </c>
    </row>
    <row r="18" spans="1:50" ht="15" customHeight="1" thickBot="1">
      <c r="A18" s="726" t="s">
        <v>42</v>
      </c>
      <c r="B18" s="951"/>
      <c r="C18" s="951"/>
      <c r="D18" s="946"/>
      <c r="E18" s="946"/>
      <c r="F18" s="946"/>
      <c r="G18" s="946"/>
      <c r="H18" s="946"/>
      <c r="I18" s="946"/>
      <c r="J18" s="946"/>
      <c r="K18" s="946"/>
      <c r="L18" s="946"/>
      <c r="M18" s="946"/>
      <c r="N18" s="946"/>
      <c r="O18" s="946"/>
      <c r="P18" s="946"/>
      <c r="Q18" s="946"/>
      <c r="R18" s="946"/>
      <c r="S18" s="946"/>
      <c r="T18" s="946"/>
      <c r="U18" s="946"/>
      <c r="V18" s="1686" t="s">
        <v>208</v>
      </c>
      <c r="W18" s="1686"/>
      <c r="X18" s="1686"/>
      <c r="Y18" s="1686"/>
      <c r="Z18" s="1686"/>
      <c r="AA18" s="1686"/>
      <c r="AB18" s="1686"/>
      <c r="AC18" s="1686"/>
      <c r="AD18" s="1686"/>
      <c r="AE18" s="1686"/>
      <c r="AF18" s="1687"/>
      <c r="AG18" s="718"/>
      <c r="AI18" s="79">
        <f>VLOOKUP($I$10,$AL$3:$AM$15,2,FALSE)</f>
        <v>1</v>
      </c>
      <c r="AJ18" s="75"/>
      <c r="AL18" s="1152">
        <v>4</v>
      </c>
      <c r="AM18" s="1153">
        <v>45820</v>
      </c>
      <c r="AW18" s="90">
        <v>16</v>
      </c>
      <c r="AX18" s="90">
        <v>16</v>
      </c>
    </row>
    <row r="19" spans="1:50" ht="15" customHeight="1">
      <c r="A19" s="727">
        <v>1</v>
      </c>
      <c r="B19" s="1334" t="str">
        <f>IFERROR(IF(AI19,AJ19,"適用月エラー"),"－")</f>
        <v>×</v>
      </c>
      <c r="C19" s="1335"/>
      <c r="D19" s="1335"/>
      <c r="E19" s="1336"/>
      <c r="F19" s="1330" t="s">
        <v>1140</v>
      </c>
      <c r="G19" s="1331"/>
      <c r="H19" s="1331"/>
      <c r="I19" s="1331"/>
      <c r="J19" s="1331"/>
      <c r="K19" s="1331"/>
      <c r="L19" s="1331"/>
      <c r="M19" s="1331"/>
      <c r="N19" s="1331"/>
      <c r="O19" s="1331"/>
      <c r="P19" s="1331"/>
      <c r="Q19" s="1331"/>
      <c r="R19" s="1331"/>
      <c r="S19" s="1331"/>
      <c r="T19" s="1331"/>
      <c r="U19" s="1332"/>
      <c r="V19" s="1268">
        <v>4</v>
      </c>
      <c r="W19" s="1269"/>
      <c r="X19" s="1269"/>
      <c r="Y19" s="1270"/>
      <c r="Z19" s="1303"/>
      <c r="AA19" s="1304"/>
      <c r="AB19" s="1304"/>
      <c r="AC19" s="1304"/>
      <c r="AD19" s="1304"/>
      <c r="AE19" s="1304"/>
      <c r="AF19" s="1305"/>
      <c r="AG19" s="718"/>
      <c r="AI19" s="961" t="b">
        <f t="shared" ref="AI19:AI28" si="0">VLOOKUP(V19,$AL$3:$AM$14,2,FALSE)&lt;=$AI$18</f>
        <v>1</v>
      </c>
      <c r="AJ19" s="1013" t="str">
        <f>J68</f>
        <v>×</v>
      </c>
      <c r="AL19" s="1152">
        <v>5</v>
      </c>
      <c r="AM19" s="1154">
        <f>AM18</f>
        <v>45820</v>
      </c>
      <c r="AW19" s="90">
        <v>17</v>
      </c>
      <c r="AX19" s="90">
        <v>17</v>
      </c>
    </row>
    <row r="20" spans="1:50" ht="15" customHeight="1">
      <c r="A20" s="727">
        <v>2</v>
      </c>
      <c r="B20" s="1334" t="str">
        <f>IFERROR(IF(AI20,AJ20,"適用月エラー"),"－")</f>
        <v>×</v>
      </c>
      <c r="C20" s="1335"/>
      <c r="D20" s="1335"/>
      <c r="E20" s="1336"/>
      <c r="F20" s="1330" t="s">
        <v>43</v>
      </c>
      <c r="G20" s="1331"/>
      <c r="H20" s="1331"/>
      <c r="I20" s="1331"/>
      <c r="J20" s="1331"/>
      <c r="K20" s="1331"/>
      <c r="L20" s="1331"/>
      <c r="M20" s="1331"/>
      <c r="N20" s="1331"/>
      <c r="O20" s="1331"/>
      <c r="P20" s="1331"/>
      <c r="Q20" s="1331"/>
      <c r="R20" s="1331"/>
      <c r="S20" s="1331"/>
      <c r="T20" s="1331"/>
      <c r="U20" s="1332"/>
      <c r="V20" s="1268">
        <v>4</v>
      </c>
      <c r="W20" s="1269"/>
      <c r="X20" s="1269"/>
      <c r="Y20" s="1270"/>
      <c r="Z20" s="1303"/>
      <c r="AA20" s="1304"/>
      <c r="AB20" s="1304"/>
      <c r="AC20" s="1304"/>
      <c r="AD20" s="1304"/>
      <c r="AE20" s="1304"/>
      <c r="AF20" s="1305"/>
      <c r="AG20" s="718"/>
      <c r="AI20" s="312" t="b">
        <f t="shared" si="0"/>
        <v>1</v>
      </c>
      <c r="AJ20" s="1013" t="str">
        <f>J72</f>
        <v>×</v>
      </c>
      <c r="AK20" s="137"/>
      <c r="AL20" s="1152">
        <v>6</v>
      </c>
      <c r="AM20" s="1154">
        <f>AM19</f>
        <v>45820</v>
      </c>
      <c r="AW20" s="90">
        <v>18</v>
      </c>
      <c r="AX20" s="90">
        <v>18</v>
      </c>
    </row>
    <row r="21" spans="1:50" ht="15" customHeight="1">
      <c r="A21" s="727">
        <v>3</v>
      </c>
      <c r="B21" s="1334" t="str">
        <f t="shared" ref="B21:B24" si="1">IFERROR(IF(AI21,AJ21,"適用月エラー"),"－")</f>
        <v>×</v>
      </c>
      <c r="C21" s="1335"/>
      <c r="D21" s="1335"/>
      <c r="E21" s="1336"/>
      <c r="F21" s="1330" t="s">
        <v>44</v>
      </c>
      <c r="G21" s="1331"/>
      <c r="H21" s="1331"/>
      <c r="I21" s="1331"/>
      <c r="J21" s="1331"/>
      <c r="K21" s="1331"/>
      <c r="L21" s="1331"/>
      <c r="M21" s="1331"/>
      <c r="N21" s="1331"/>
      <c r="O21" s="1331"/>
      <c r="P21" s="1331"/>
      <c r="Q21" s="1331"/>
      <c r="R21" s="1331"/>
      <c r="S21" s="1331"/>
      <c r="T21" s="1331"/>
      <c r="U21" s="1332"/>
      <c r="V21" s="1268">
        <v>4</v>
      </c>
      <c r="W21" s="1269"/>
      <c r="X21" s="1269"/>
      <c r="Y21" s="1270"/>
      <c r="Z21" s="1303"/>
      <c r="AA21" s="1304"/>
      <c r="AB21" s="1304"/>
      <c r="AC21" s="1304"/>
      <c r="AD21" s="1304"/>
      <c r="AE21" s="1304"/>
      <c r="AF21" s="1305"/>
      <c r="AG21" s="718"/>
      <c r="AI21" s="312" t="b">
        <f t="shared" si="0"/>
        <v>1</v>
      </c>
      <c r="AJ21" s="1013" t="str">
        <f>J88</f>
        <v>×</v>
      </c>
      <c r="AK21" s="137"/>
      <c r="AL21" s="1152">
        <v>7</v>
      </c>
      <c r="AM21" s="1153">
        <v>45905</v>
      </c>
      <c r="AW21" s="90">
        <v>19</v>
      </c>
      <c r="AX21" s="90">
        <v>19</v>
      </c>
    </row>
    <row r="22" spans="1:50" s="1202" customFormat="1" ht="15" customHeight="1">
      <c r="A22" s="727">
        <v>4</v>
      </c>
      <c r="B22" s="1334" t="str">
        <f t="shared" si="1"/>
        <v>×</v>
      </c>
      <c r="C22" s="1335"/>
      <c r="D22" s="1335"/>
      <c r="E22" s="1336"/>
      <c r="F22" s="1330" t="s">
        <v>1103</v>
      </c>
      <c r="G22" s="1331"/>
      <c r="H22" s="1331"/>
      <c r="I22" s="1331"/>
      <c r="J22" s="1331"/>
      <c r="K22" s="1331"/>
      <c r="L22" s="1331"/>
      <c r="M22" s="1331"/>
      <c r="N22" s="1331"/>
      <c r="O22" s="1331"/>
      <c r="P22" s="1331"/>
      <c r="Q22" s="1331"/>
      <c r="R22" s="1331"/>
      <c r="S22" s="1331"/>
      <c r="T22" s="1331"/>
      <c r="U22" s="1332"/>
      <c r="V22" s="1268">
        <v>4</v>
      </c>
      <c r="W22" s="1269"/>
      <c r="X22" s="1269"/>
      <c r="Y22" s="1270"/>
      <c r="Z22" s="1303"/>
      <c r="AA22" s="1304"/>
      <c r="AB22" s="1304"/>
      <c r="AC22" s="1304"/>
      <c r="AD22" s="1304"/>
      <c r="AE22" s="1304"/>
      <c r="AF22" s="1305"/>
      <c r="AG22" s="1201"/>
      <c r="AI22" s="312" t="b">
        <f t="shared" si="0"/>
        <v>1</v>
      </c>
      <c r="AJ22" s="1199" t="str">
        <f>J94</f>
        <v>×</v>
      </c>
      <c r="AL22" s="1152">
        <v>8</v>
      </c>
      <c r="AM22" s="1154">
        <f>AM21</f>
        <v>45905</v>
      </c>
      <c r="AW22" s="90">
        <v>20</v>
      </c>
      <c r="AX22" s="90">
        <v>20</v>
      </c>
    </row>
    <row r="23" spans="1:50" ht="15" customHeight="1">
      <c r="A23" s="727">
        <v>5</v>
      </c>
      <c r="B23" s="1334" t="str">
        <f t="shared" si="1"/>
        <v>×</v>
      </c>
      <c r="C23" s="1335"/>
      <c r="D23" s="1335"/>
      <c r="E23" s="1336"/>
      <c r="F23" s="1330" t="s">
        <v>45</v>
      </c>
      <c r="G23" s="1331"/>
      <c r="H23" s="1331"/>
      <c r="I23" s="1331"/>
      <c r="J23" s="1331"/>
      <c r="K23" s="1331"/>
      <c r="L23" s="1331"/>
      <c r="M23" s="1331"/>
      <c r="N23" s="1331"/>
      <c r="O23" s="1331"/>
      <c r="P23" s="1331"/>
      <c r="Q23" s="1331"/>
      <c r="R23" s="1331"/>
      <c r="S23" s="1331"/>
      <c r="T23" s="1331"/>
      <c r="U23" s="1332"/>
      <c r="V23" s="1268">
        <v>4</v>
      </c>
      <c r="W23" s="1269"/>
      <c r="X23" s="1269"/>
      <c r="Y23" s="1270"/>
      <c r="Z23" s="1303"/>
      <c r="AA23" s="1304"/>
      <c r="AB23" s="1304"/>
      <c r="AC23" s="1304"/>
      <c r="AD23" s="1304"/>
      <c r="AE23" s="1304"/>
      <c r="AF23" s="1305"/>
      <c r="AG23" s="718"/>
      <c r="AI23" s="312" t="b">
        <f t="shared" si="0"/>
        <v>1</v>
      </c>
      <c r="AJ23" s="1013" t="str">
        <f>J101</f>
        <v>×</v>
      </c>
      <c r="AK23" s="137"/>
      <c r="AL23" s="1152">
        <v>9</v>
      </c>
      <c r="AM23" s="1154">
        <f>AM22</f>
        <v>45905</v>
      </c>
      <c r="AW23" s="90"/>
      <c r="AX23" s="90">
        <v>21</v>
      </c>
    </row>
    <row r="24" spans="1:50" ht="15" customHeight="1">
      <c r="A24" s="727">
        <v>6</v>
      </c>
      <c r="B24" s="1334" t="str">
        <f t="shared" si="1"/>
        <v>×</v>
      </c>
      <c r="C24" s="1335"/>
      <c r="D24" s="1335"/>
      <c r="E24" s="1336"/>
      <c r="F24" s="1330" t="s">
        <v>98</v>
      </c>
      <c r="G24" s="1331"/>
      <c r="H24" s="1331"/>
      <c r="I24" s="1331"/>
      <c r="J24" s="1331"/>
      <c r="K24" s="1331"/>
      <c r="L24" s="1331"/>
      <c r="M24" s="1331"/>
      <c r="N24" s="1331"/>
      <c r="O24" s="1331"/>
      <c r="P24" s="1331"/>
      <c r="Q24" s="1331"/>
      <c r="R24" s="1331"/>
      <c r="S24" s="1331"/>
      <c r="T24" s="1331"/>
      <c r="U24" s="1332"/>
      <c r="V24" s="1268">
        <v>4</v>
      </c>
      <c r="W24" s="1269"/>
      <c r="X24" s="1269"/>
      <c r="Y24" s="1270"/>
      <c r="Z24" s="1303"/>
      <c r="AA24" s="1304"/>
      <c r="AB24" s="1304"/>
      <c r="AC24" s="1304"/>
      <c r="AD24" s="1304"/>
      <c r="AE24" s="1304"/>
      <c r="AF24" s="1305"/>
      <c r="AG24" s="718"/>
      <c r="AI24" s="312" t="b">
        <f t="shared" si="0"/>
        <v>1</v>
      </c>
      <c r="AJ24" s="1013" t="str">
        <f>J107</f>
        <v>×</v>
      </c>
      <c r="AK24" s="137"/>
      <c r="AL24" s="1152">
        <v>10</v>
      </c>
      <c r="AM24" s="1153">
        <v>45996</v>
      </c>
      <c r="AX24" s="90">
        <v>22</v>
      </c>
    </row>
    <row r="25" spans="1:50" ht="15" customHeight="1">
      <c r="A25" s="727">
        <v>7</v>
      </c>
      <c r="B25" s="1334" t="str">
        <f>IFERROR(IF(AI25,AJ25,"適用月エラー"),"－")</f>
        <v>×</v>
      </c>
      <c r="C25" s="1335"/>
      <c r="D25" s="1335"/>
      <c r="E25" s="1336"/>
      <c r="F25" s="1330" t="s">
        <v>46</v>
      </c>
      <c r="G25" s="1331"/>
      <c r="H25" s="1331"/>
      <c r="I25" s="1331"/>
      <c r="J25" s="1331"/>
      <c r="K25" s="1331"/>
      <c r="L25" s="1331"/>
      <c r="M25" s="1331"/>
      <c r="N25" s="1331"/>
      <c r="O25" s="1331"/>
      <c r="P25" s="1331"/>
      <c r="Q25" s="1331"/>
      <c r="R25" s="1331"/>
      <c r="S25" s="1331"/>
      <c r="T25" s="1331"/>
      <c r="U25" s="1332"/>
      <c r="V25" s="1268">
        <v>4</v>
      </c>
      <c r="W25" s="1269"/>
      <c r="X25" s="1269"/>
      <c r="Y25" s="1270"/>
      <c r="Z25" s="1303"/>
      <c r="AA25" s="1304"/>
      <c r="AB25" s="1304"/>
      <c r="AC25" s="1304"/>
      <c r="AD25" s="1304"/>
      <c r="AE25" s="1304"/>
      <c r="AF25" s="1305"/>
      <c r="AG25" s="718"/>
      <c r="AI25" s="312" t="b">
        <f t="shared" si="0"/>
        <v>1</v>
      </c>
      <c r="AJ25" s="1013" t="str">
        <f>J117</f>
        <v>×</v>
      </c>
      <c r="AK25" s="137"/>
      <c r="AL25" s="1152">
        <v>11</v>
      </c>
      <c r="AM25" s="1154">
        <f>AM24</f>
        <v>45996</v>
      </c>
      <c r="AX25" s="90">
        <v>23</v>
      </c>
    </row>
    <row r="26" spans="1:50" ht="15" customHeight="1">
      <c r="A26" s="727">
        <v>8</v>
      </c>
      <c r="B26" s="1334" t="str">
        <f t="shared" ref="B26:B28" si="2">IFERROR(IF(AI26,AJ26,"適用月エラー"),"－")</f>
        <v>×</v>
      </c>
      <c r="C26" s="1335"/>
      <c r="D26" s="1335"/>
      <c r="E26" s="1336"/>
      <c r="F26" s="1330" t="s">
        <v>47</v>
      </c>
      <c r="G26" s="1331"/>
      <c r="H26" s="1331"/>
      <c r="I26" s="1331"/>
      <c r="J26" s="1331"/>
      <c r="K26" s="1331"/>
      <c r="L26" s="1331"/>
      <c r="M26" s="1331"/>
      <c r="N26" s="1331"/>
      <c r="O26" s="1331"/>
      <c r="P26" s="1331"/>
      <c r="Q26" s="1331"/>
      <c r="R26" s="1331"/>
      <c r="S26" s="1331"/>
      <c r="T26" s="1331"/>
      <c r="U26" s="1332"/>
      <c r="V26" s="1268">
        <v>4</v>
      </c>
      <c r="W26" s="1269"/>
      <c r="X26" s="1269"/>
      <c r="Y26" s="1270"/>
      <c r="Z26" s="1303"/>
      <c r="AA26" s="1304"/>
      <c r="AB26" s="1304"/>
      <c r="AC26" s="1304"/>
      <c r="AD26" s="1304"/>
      <c r="AE26" s="1304"/>
      <c r="AF26" s="1305"/>
      <c r="AG26" s="718"/>
      <c r="AI26" s="312" t="b">
        <f t="shared" si="0"/>
        <v>1</v>
      </c>
      <c r="AJ26" s="1013" t="str">
        <f>J125</f>
        <v>×</v>
      </c>
      <c r="AK26" s="137"/>
      <c r="AL26" s="1152">
        <v>12</v>
      </c>
      <c r="AM26" s="1154">
        <f>AM25</f>
        <v>45996</v>
      </c>
      <c r="AX26" s="90">
        <v>24</v>
      </c>
    </row>
    <row r="27" spans="1:50" ht="15" customHeight="1">
      <c r="A27" s="727">
        <v>9</v>
      </c>
      <c r="B27" s="1334" t="str">
        <f>IFERROR(IF(AI27,AJ27,"適用月エラー"),"－")</f>
        <v>×</v>
      </c>
      <c r="C27" s="1335"/>
      <c r="D27" s="1335"/>
      <c r="E27" s="1336"/>
      <c r="F27" s="1330" t="s">
        <v>289</v>
      </c>
      <c r="G27" s="1331"/>
      <c r="H27" s="1331"/>
      <c r="I27" s="1331"/>
      <c r="J27" s="1331"/>
      <c r="K27" s="1331"/>
      <c r="L27" s="1331"/>
      <c r="M27" s="1331"/>
      <c r="N27" s="1331"/>
      <c r="O27" s="1331"/>
      <c r="P27" s="1331"/>
      <c r="Q27" s="1331"/>
      <c r="R27" s="1331"/>
      <c r="S27" s="1331"/>
      <c r="T27" s="1331"/>
      <c r="U27" s="1332"/>
      <c r="V27" s="1268">
        <v>4</v>
      </c>
      <c r="W27" s="1269"/>
      <c r="X27" s="1269"/>
      <c r="Y27" s="1270"/>
      <c r="Z27" s="1303"/>
      <c r="AA27" s="1304"/>
      <c r="AB27" s="1304"/>
      <c r="AC27" s="1304"/>
      <c r="AD27" s="1304"/>
      <c r="AE27" s="1304"/>
      <c r="AF27" s="1305"/>
      <c r="AG27" s="718"/>
      <c r="AI27" s="312" t="b">
        <f t="shared" si="0"/>
        <v>1</v>
      </c>
      <c r="AJ27" s="1013" t="str">
        <f>J132</f>
        <v>×</v>
      </c>
      <c r="AK27" s="137"/>
      <c r="AL27" s="1152">
        <v>1</v>
      </c>
      <c r="AM27" s="1153">
        <v>46084</v>
      </c>
      <c r="AX27" s="90">
        <v>25</v>
      </c>
    </row>
    <row r="28" spans="1:50" ht="15" customHeight="1">
      <c r="A28" s="728">
        <v>10</v>
      </c>
      <c r="B28" s="1334" t="str">
        <f t="shared" si="2"/>
        <v>×</v>
      </c>
      <c r="C28" s="1335"/>
      <c r="D28" s="1335"/>
      <c r="E28" s="1336"/>
      <c r="F28" s="1330" t="s">
        <v>194</v>
      </c>
      <c r="G28" s="1331"/>
      <c r="H28" s="1331"/>
      <c r="I28" s="1331"/>
      <c r="J28" s="1331"/>
      <c r="K28" s="1331"/>
      <c r="L28" s="1331"/>
      <c r="M28" s="1331"/>
      <c r="N28" s="1331"/>
      <c r="O28" s="1331"/>
      <c r="P28" s="1331"/>
      <c r="Q28" s="1331"/>
      <c r="R28" s="1331"/>
      <c r="S28" s="1331"/>
      <c r="T28" s="1331"/>
      <c r="U28" s="1332"/>
      <c r="V28" s="1465">
        <f>I10</f>
        <v>4</v>
      </c>
      <c r="W28" s="1466"/>
      <c r="X28" s="1466"/>
      <c r="Y28" s="1467"/>
      <c r="Z28" s="1468"/>
      <c r="AA28" s="1469"/>
      <c r="AB28" s="1469"/>
      <c r="AC28" s="1469"/>
      <c r="AD28" s="1469"/>
      <c r="AE28" s="1469"/>
      <c r="AF28" s="1470"/>
      <c r="AG28" s="718"/>
      <c r="AI28" s="312" t="b">
        <f t="shared" si="0"/>
        <v>1</v>
      </c>
      <c r="AJ28" s="1013" t="str">
        <f>J167</f>
        <v>×</v>
      </c>
      <c r="AK28" s="137"/>
      <c r="AL28" s="1152">
        <v>2</v>
      </c>
      <c r="AM28" s="1154">
        <f>AM27</f>
        <v>46084</v>
      </c>
      <c r="AX28" s="90">
        <v>26</v>
      </c>
    </row>
    <row r="29" spans="1:50" ht="15" customHeight="1">
      <c r="A29" s="726" t="s">
        <v>49</v>
      </c>
      <c r="B29" s="934"/>
      <c r="C29" s="946"/>
      <c r="D29" s="960"/>
      <c r="E29" s="960"/>
      <c r="F29" s="960"/>
      <c r="G29" s="960"/>
      <c r="H29" s="960"/>
      <c r="I29" s="960"/>
      <c r="J29" s="960"/>
      <c r="K29" s="960"/>
      <c r="L29" s="960"/>
      <c r="M29" s="960"/>
      <c r="N29" s="960"/>
      <c r="O29" s="960"/>
      <c r="P29" s="960"/>
      <c r="Q29" s="960"/>
      <c r="R29" s="960"/>
      <c r="S29" s="960"/>
      <c r="T29" s="960"/>
      <c r="U29" s="959"/>
      <c r="V29" s="729"/>
      <c r="W29" s="729"/>
      <c r="X29" s="729"/>
      <c r="Y29" s="729"/>
      <c r="Z29" s="948"/>
      <c r="AA29" s="729"/>
      <c r="AB29" s="729"/>
      <c r="AC29" s="729"/>
      <c r="AD29" s="729"/>
      <c r="AE29" s="715"/>
      <c r="AF29" s="730"/>
      <c r="AG29" s="718"/>
      <c r="AI29" s="938"/>
      <c r="AJ29" s="185"/>
      <c r="AK29" s="137"/>
      <c r="AL29" s="1152">
        <v>3</v>
      </c>
      <c r="AM29" s="1154">
        <f>AM28</f>
        <v>46084</v>
      </c>
      <c r="AX29" s="90">
        <v>27</v>
      </c>
    </row>
    <row r="30" spans="1:50" ht="15" customHeight="1">
      <c r="A30" s="731">
        <v>11</v>
      </c>
      <c r="B30" s="1334" t="str">
        <f>IFERROR(IF(AI30,AJ30,"適用月エラー"),AJ30)</f>
        <v>×</v>
      </c>
      <c r="C30" s="1335"/>
      <c r="D30" s="1335"/>
      <c r="E30" s="1336"/>
      <c r="F30" s="1330" t="s">
        <v>1015</v>
      </c>
      <c r="G30" s="1331"/>
      <c r="H30" s="1331"/>
      <c r="I30" s="1331"/>
      <c r="J30" s="1331"/>
      <c r="K30" s="1331"/>
      <c r="L30" s="1331"/>
      <c r="M30" s="1331"/>
      <c r="N30" s="1331"/>
      <c r="O30" s="1331"/>
      <c r="P30" s="1331"/>
      <c r="Q30" s="1331"/>
      <c r="R30" s="1331"/>
      <c r="S30" s="1331"/>
      <c r="T30" s="1331"/>
      <c r="U30" s="1332"/>
      <c r="V30" s="1268">
        <v>4</v>
      </c>
      <c r="W30" s="1269"/>
      <c r="X30" s="1269"/>
      <c r="Y30" s="1270"/>
      <c r="Z30" s="1303"/>
      <c r="AA30" s="1304"/>
      <c r="AB30" s="1304"/>
      <c r="AC30" s="1304"/>
      <c r="AD30" s="1304"/>
      <c r="AE30" s="1304"/>
      <c r="AF30" s="1305"/>
      <c r="AG30" s="718"/>
      <c r="AI30" s="312" t="b">
        <f>VLOOKUP(V30,$AL$3:$AM$14,2,FALSE)&lt;=$AI$18</f>
        <v>1</v>
      </c>
      <c r="AJ30" s="1013" t="str">
        <f>J183</f>
        <v>×</v>
      </c>
      <c r="AL30" s="1152"/>
      <c r="AM30" s="1154"/>
      <c r="AX30" s="90">
        <v>28</v>
      </c>
    </row>
    <row r="31" spans="1:50" ht="15" customHeight="1">
      <c r="A31" s="726" t="s">
        <v>50</v>
      </c>
      <c r="B31" s="934"/>
      <c r="C31" s="946"/>
      <c r="D31" s="960"/>
      <c r="E31" s="960"/>
      <c r="F31" s="960"/>
      <c r="G31" s="960"/>
      <c r="H31" s="960"/>
      <c r="I31" s="960"/>
      <c r="J31" s="960"/>
      <c r="K31" s="960"/>
      <c r="L31" s="960"/>
      <c r="M31" s="960"/>
      <c r="N31" s="960"/>
      <c r="O31" s="960"/>
      <c r="P31" s="960"/>
      <c r="Q31" s="960"/>
      <c r="R31" s="960"/>
      <c r="S31" s="960"/>
      <c r="T31" s="960"/>
      <c r="U31" s="959"/>
      <c r="V31" s="729"/>
      <c r="W31" s="729"/>
      <c r="X31" s="729"/>
      <c r="Y31" s="729"/>
      <c r="Z31" s="948"/>
      <c r="AA31" s="729"/>
      <c r="AB31" s="729"/>
      <c r="AC31" s="729"/>
      <c r="AD31" s="729"/>
      <c r="AE31" s="715"/>
      <c r="AF31" s="730"/>
      <c r="AG31" s="718"/>
      <c r="AI31" s="938"/>
      <c r="AJ31" s="185"/>
      <c r="AK31" s="137"/>
      <c r="AX31" s="90">
        <v>29</v>
      </c>
    </row>
    <row r="32" spans="1:50" ht="15" customHeight="1">
      <c r="A32" s="727">
        <v>12</v>
      </c>
      <c r="B32" s="1334" t="str">
        <f>IFERROR(IF(AI32,AJ32,"適用月エラー"),AJ32)</f>
        <v>未入力エラー</v>
      </c>
      <c r="C32" s="1335"/>
      <c r="D32" s="1335"/>
      <c r="E32" s="1336"/>
      <c r="F32" s="1330" t="s">
        <v>1016</v>
      </c>
      <c r="G32" s="1331"/>
      <c r="H32" s="1331"/>
      <c r="I32" s="1331"/>
      <c r="J32" s="1331"/>
      <c r="K32" s="1331"/>
      <c r="L32" s="1331"/>
      <c r="M32" s="1331"/>
      <c r="N32" s="1331"/>
      <c r="O32" s="1331"/>
      <c r="P32" s="1331"/>
      <c r="Q32" s="1331"/>
      <c r="R32" s="1331"/>
      <c r="S32" s="1331"/>
      <c r="T32" s="1331"/>
      <c r="U32" s="1332"/>
      <c r="V32" s="1465">
        <f>IF(I10=0,0,4)</f>
        <v>4</v>
      </c>
      <c r="W32" s="1466"/>
      <c r="X32" s="1466"/>
      <c r="Y32" s="1467"/>
      <c r="Z32" s="1683" t="str">
        <f>H208</f>
        <v>エラー</v>
      </c>
      <c r="AA32" s="1684"/>
      <c r="AB32" s="1684"/>
      <c r="AC32" s="1684"/>
      <c r="AD32" s="1684"/>
      <c r="AE32" s="1684"/>
      <c r="AF32" s="1685"/>
      <c r="AG32" s="718"/>
      <c r="AI32" s="312" t="b">
        <f>VLOOKUP(V32,$AL$3:$AM$14,2,FALSE)&lt;=$AI$18</f>
        <v>1</v>
      </c>
      <c r="AJ32" s="1013" t="str">
        <f>J187</f>
        <v>未入力エラー</v>
      </c>
      <c r="AX32" s="90">
        <v>30</v>
      </c>
    </row>
    <row r="33" spans="1:50" ht="15" customHeight="1">
      <c r="A33" s="726" t="s">
        <v>51</v>
      </c>
      <c r="B33" s="946"/>
      <c r="C33" s="946"/>
      <c r="D33" s="959"/>
      <c r="E33" s="959"/>
      <c r="F33" s="959"/>
      <c r="G33" s="959"/>
      <c r="H33" s="959"/>
      <c r="I33" s="959"/>
      <c r="J33" s="959"/>
      <c r="K33" s="959"/>
      <c r="L33" s="959"/>
      <c r="M33" s="959"/>
      <c r="N33" s="959"/>
      <c r="O33" s="959"/>
      <c r="P33" s="959"/>
      <c r="Q33" s="959"/>
      <c r="R33" s="959"/>
      <c r="S33" s="959"/>
      <c r="T33" s="959"/>
      <c r="U33" s="959"/>
      <c r="V33" s="948"/>
      <c r="W33" s="948"/>
      <c r="X33" s="948"/>
      <c r="Y33" s="948"/>
      <c r="Z33" s="948"/>
      <c r="AA33" s="948"/>
      <c r="AB33" s="948"/>
      <c r="AC33" s="948"/>
      <c r="AD33" s="948"/>
      <c r="AE33" s="715"/>
      <c r="AF33" s="730"/>
      <c r="AG33" s="718"/>
      <c r="AI33" s="938"/>
      <c r="AJ33" s="185"/>
      <c r="AX33" s="90">
        <v>31</v>
      </c>
    </row>
    <row r="34" spans="1:50" ht="15" customHeight="1">
      <c r="A34" s="727">
        <v>13</v>
      </c>
      <c r="B34" s="1334" t="str">
        <f>IFERROR(IF(AI34,AJ34,"適用月エラー"),"－")</f>
        <v>×</v>
      </c>
      <c r="C34" s="1335"/>
      <c r="D34" s="1335"/>
      <c r="E34" s="1336"/>
      <c r="F34" s="1330" t="s">
        <v>52</v>
      </c>
      <c r="G34" s="1331"/>
      <c r="H34" s="1331"/>
      <c r="I34" s="1331"/>
      <c r="J34" s="1331"/>
      <c r="K34" s="1331"/>
      <c r="L34" s="1331"/>
      <c r="M34" s="1331"/>
      <c r="N34" s="1331"/>
      <c r="O34" s="1331"/>
      <c r="P34" s="1331"/>
      <c r="Q34" s="1331"/>
      <c r="R34" s="1331"/>
      <c r="S34" s="1331"/>
      <c r="T34" s="1331"/>
      <c r="U34" s="1332"/>
      <c r="V34" s="1268">
        <v>4</v>
      </c>
      <c r="W34" s="1269"/>
      <c r="X34" s="1269"/>
      <c r="Y34" s="1270"/>
      <c r="Z34" s="1303"/>
      <c r="AA34" s="1304"/>
      <c r="AB34" s="1304"/>
      <c r="AC34" s="1304"/>
      <c r="AD34" s="1304"/>
      <c r="AE34" s="1304"/>
      <c r="AF34" s="1305"/>
      <c r="AG34" s="718"/>
      <c r="AI34" s="312" t="b">
        <f t="shared" ref="AI34:AI40" si="3">VLOOKUP(V34,$AL$3:$AM$14,2,FALSE)&lt;=$AI$18</f>
        <v>1</v>
      </c>
      <c r="AJ34" s="1013" t="str">
        <f>J212</f>
        <v>×</v>
      </c>
      <c r="AX34" s="90"/>
    </row>
    <row r="35" spans="1:50" ht="15" customHeight="1">
      <c r="A35" s="727">
        <v>14</v>
      </c>
      <c r="B35" s="1334" t="str">
        <f>IFERROR(IF(AI35,AJ35,"適用月エラー"),"－")</f>
        <v>×</v>
      </c>
      <c r="C35" s="1335"/>
      <c r="D35" s="1335"/>
      <c r="E35" s="1336"/>
      <c r="F35" s="1330" t="s">
        <v>53</v>
      </c>
      <c r="G35" s="1331"/>
      <c r="H35" s="1331"/>
      <c r="I35" s="1331"/>
      <c r="J35" s="1331"/>
      <c r="K35" s="1331"/>
      <c r="L35" s="1331"/>
      <c r="M35" s="1331"/>
      <c r="N35" s="1331"/>
      <c r="O35" s="1331"/>
      <c r="P35" s="1331"/>
      <c r="Q35" s="1331"/>
      <c r="R35" s="1331"/>
      <c r="S35" s="1331"/>
      <c r="T35" s="1331"/>
      <c r="U35" s="1332"/>
      <c r="V35" s="1268">
        <v>4</v>
      </c>
      <c r="W35" s="1269"/>
      <c r="X35" s="1269"/>
      <c r="Y35" s="1270"/>
      <c r="Z35" s="1303"/>
      <c r="AA35" s="1304"/>
      <c r="AB35" s="1304"/>
      <c r="AC35" s="1304"/>
      <c r="AD35" s="1304"/>
      <c r="AE35" s="1304"/>
      <c r="AF35" s="1305"/>
      <c r="AG35" s="718"/>
      <c r="AI35" s="312" t="b">
        <f t="shared" si="3"/>
        <v>1</v>
      </c>
      <c r="AJ35" s="1013" t="str">
        <f>J260</f>
        <v>×</v>
      </c>
    </row>
    <row r="36" spans="1:50" ht="15" customHeight="1">
      <c r="A36" s="727">
        <v>15</v>
      </c>
      <c r="B36" s="1334" t="str">
        <f>IFERROR(IF(AI36,AJ36,"適用月エラー"),"－")</f>
        <v>×</v>
      </c>
      <c r="C36" s="1335"/>
      <c r="D36" s="1335"/>
      <c r="E36" s="1336"/>
      <c r="F36" s="1330" t="s">
        <v>54</v>
      </c>
      <c r="G36" s="1331"/>
      <c r="H36" s="1331"/>
      <c r="I36" s="1331"/>
      <c r="J36" s="1331"/>
      <c r="K36" s="1331"/>
      <c r="L36" s="1331"/>
      <c r="M36" s="1331"/>
      <c r="N36" s="1331"/>
      <c r="O36" s="1331"/>
      <c r="P36" s="1331"/>
      <c r="Q36" s="1331"/>
      <c r="R36" s="1331"/>
      <c r="S36" s="1331"/>
      <c r="T36" s="1331"/>
      <c r="U36" s="1332"/>
      <c r="V36" s="1268">
        <v>4</v>
      </c>
      <c r="W36" s="1269"/>
      <c r="X36" s="1269"/>
      <c r="Y36" s="1270"/>
      <c r="Z36" s="1303"/>
      <c r="AA36" s="1304"/>
      <c r="AB36" s="1304"/>
      <c r="AC36" s="1304"/>
      <c r="AD36" s="1304"/>
      <c r="AE36" s="1304"/>
      <c r="AF36" s="1305"/>
      <c r="AG36" s="718"/>
      <c r="AI36" s="312" t="b">
        <f t="shared" si="3"/>
        <v>1</v>
      </c>
      <c r="AJ36" s="1013" t="str">
        <f>J267</f>
        <v>×</v>
      </c>
    </row>
    <row r="37" spans="1:50" ht="15" customHeight="1">
      <c r="A37" s="727">
        <v>16</v>
      </c>
      <c r="B37" s="1334" t="str">
        <f t="shared" ref="B37:B38" si="4">IFERROR(IF(AI37,AJ37,"適用月エラー"),"－")</f>
        <v>×</v>
      </c>
      <c r="C37" s="1335"/>
      <c r="D37" s="1335"/>
      <c r="E37" s="1336"/>
      <c r="F37" s="1330" t="s">
        <v>94</v>
      </c>
      <c r="G37" s="1331"/>
      <c r="H37" s="1331"/>
      <c r="I37" s="1331"/>
      <c r="J37" s="1331"/>
      <c r="K37" s="1331"/>
      <c r="L37" s="1331"/>
      <c r="M37" s="1331"/>
      <c r="N37" s="1331"/>
      <c r="O37" s="1331"/>
      <c r="P37" s="1331"/>
      <c r="Q37" s="1331"/>
      <c r="R37" s="1331"/>
      <c r="S37" s="1331"/>
      <c r="T37" s="1331"/>
      <c r="U37" s="1332"/>
      <c r="V37" s="1268">
        <v>4</v>
      </c>
      <c r="W37" s="1269"/>
      <c r="X37" s="1269"/>
      <c r="Y37" s="1270"/>
      <c r="Z37" s="1303"/>
      <c r="AA37" s="1304"/>
      <c r="AB37" s="1304"/>
      <c r="AC37" s="1304"/>
      <c r="AD37" s="1304"/>
      <c r="AE37" s="1304"/>
      <c r="AF37" s="1305"/>
      <c r="AG37" s="718"/>
      <c r="AI37" s="312" t="b">
        <f t="shared" si="3"/>
        <v>1</v>
      </c>
      <c r="AJ37" s="1013" t="str">
        <f>J280</f>
        <v>×</v>
      </c>
    </row>
    <row r="38" spans="1:50" ht="15" customHeight="1">
      <c r="A38" s="727">
        <v>17</v>
      </c>
      <c r="B38" s="1334" t="str">
        <f t="shared" si="4"/>
        <v>×</v>
      </c>
      <c r="C38" s="1335"/>
      <c r="D38" s="1335"/>
      <c r="E38" s="1336"/>
      <c r="F38" s="1330" t="s">
        <v>55</v>
      </c>
      <c r="G38" s="1331"/>
      <c r="H38" s="1331"/>
      <c r="I38" s="1331"/>
      <c r="J38" s="1331"/>
      <c r="K38" s="1331"/>
      <c r="L38" s="1331"/>
      <c r="M38" s="1331"/>
      <c r="N38" s="1331"/>
      <c r="O38" s="1331"/>
      <c r="P38" s="1331"/>
      <c r="Q38" s="1331"/>
      <c r="R38" s="1331"/>
      <c r="S38" s="1331"/>
      <c r="T38" s="1331"/>
      <c r="U38" s="1332"/>
      <c r="V38" s="1268">
        <v>4</v>
      </c>
      <c r="W38" s="1269"/>
      <c r="X38" s="1269"/>
      <c r="Y38" s="1270"/>
      <c r="Z38" s="1303"/>
      <c r="AA38" s="1304"/>
      <c r="AB38" s="1304"/>
      <c r="AC38" s="1304"/>
      <c r="AD38" s="1304"/>
      <c r="AE38" s="1304"/>
      <c r="AF38" s="1305"/>
      <c r="AG38" s="718"/>
      <c r="AI38" s="312" t="b">
        <f t="shared" si="3"/>
        <v>1</v>
      </c>
      <c r="AJ38" s="1013" t="str">
        <f>J293</f>
        <v>×</v>
      </c>
    </row>
    <row r="39" spans="1:50" ht="15" customHeight="1">
      <c r="A39" s="727">
        <v>18</v>
      </c>
      <c r="B39" s="1334" t="str">
        <f>IFERROR(IF(AI39,AJ39,"適用月エラー"),"－")</f>
        <v>×</v>
      </c>
      <c r="C39" s="1335"/>
      <c r="D39" s="1335"/>
      <c r="E39" s="1336"/>
      <c r="F39" s="1330" t="s">
        <v>56</v>
      </c>
      <c r="G39" s="1331"/>
      <c r="H39" s="1331"/>
      <c r="I39" s="1331"/>
      <c r="J39" s="1331"/>
      <c r="K39" s="1331"/>
      <c r="L39" s="1331"/>
      <c r="M39" s="1331"/>
      <c r="N39" s="1331"/>
      <c r="O39" s="1331"/>
      <c r="P39" s="1331"/>
      <c r="Q39" s="1331"/>
      <c r="R39" s="1331"/>
      <c r="S39" s="1331"/>
      <c r="T39" s="1331"/>
      <c r="U39" s="1332"/>
      <c r="V39" s="1268">
        <v>4</v>
      </c>
      <c r="W39" s="1269"/>
      <c r="X39" s="1269"/>
      <c r="Y39" s="1270"/>
      <c r="Z39" s="1303"/>
      <c r="AA39" s="1304"/>
      <c r="AB39" s="1304"/>
      <c r="AC39" s="1304"/>
      <c r="AD39" s="1304"/>
      <c r="AE39" s="1304"/>
      <c r="AF39" s="1305"/>
      <c r="AG39" s="718"/>
      <c r="AI39" s="312" t="b">
        <f t="shared" si="3"/>
        <v>1</v>
      </c>
      <c r="AJ39" s="1013" t="str">
        <f>J302</f>
        <v>×</v>
      </c>
    </row>
    <row r="40" spans="1:50" ht="15" customHeight="1">
      <c r="A40" s="727">
        <v>19</v>
      </c>
      <c r="B40" s="1334" t="str">
        <f>IFERROR(IF(AI40,AJ40,"適用月エラー"),"－")</f>
        <v>×</v>
      </c>
      <c r="C40" s="1335"/>
      <c r="D40" s="1335"/>
      <c r="E40" s="1336"/>
      <c r="F40" s="1330" t="s">
        <v>63</v>
      </c>
      <c r="G40" s="1331"/>
      <c r="H40" s="1331"/>
      <c r="I40" s="1331"/>
      <c r="J40" s="1331"/>
      <c r="K40" s="1331"/>
      <c r="L40" s="1331"/>
      <c r="M40" s="1331"/>
      <c r="N40" s="1331"/>
      <c r="O40" s="1331"/>
      <c r="P40" s="1331"/>
      <c r="Q40" s="1331"/>
      <c r="R40" s="1331"/>
      <c r="S40" s="1331"/>
      <c r="T40" s="1331"/>
      <c r="U40" s="1332"/>
      <c r="V40" s="1268">
        <v>4</v>
      </c>
      <c r="W40" s="1269"/>
      <c r="X40" s="1269"/>
      <c r="Y40" s="1270"/>
      <c r="Z40" s="1303"/>
      <c r="AA40" s="1304"/>
      <c r="AB40" s="1304"/>
      <c r="AC40" s="1304"/>
      <c r="AD40" s="1304"/>
      <c r="AE40" s="1304"/>
      <c r="AF40" s="1305"/>
      <c r="AG40" s="718"/>
      <c r="AI40" s="312" t="b">
        <f t="shared" si="3"/>
        <v>1</v>
      </c>
      <c r="AJ40" s="1013" t="str">
        <f>J312</f>
        <v>×</v>
      </c>
    </row>
    <row r="41" spans="1:50" ht="15" customHeight="1">
      <c r="A41" s="727">
        <v>20</v>
      </c>
      <c r="B41" s="1334" t="s">
        <v>89</v>
      </c>
      <c r="C41" s="1335"/>
      <c r="D41" s="1335"/>
      <c r="E41" s="1336"/>
      <c r="F41" s="1330" t="s">
        <v>57</v>
      </c>
      <c r="G41" s="1331"/>
      <c r="H41" s="1331"/>
      <c r="I41" s="1331"/>
      <c r="J41" s="1331"/>
      <c r="K41" s="1331"/>
      <c r="L41" s="1331"/>
      <c r="M41" s="1331"/>
      <c r="N41" s="1331"/>
      <c r="O41" s="1331"/>
      <c r="P41" s="1331"/>
      <c r="Q41" s="1331"/>
      <c r="R41" s="1331"/>
      <c r="S41" s="1331"/>
      <c r="T41" s="1331"/>
      <c r="U41" s="1332"/>
      <c r="V41" s="1465">
        <f>IF(DATE($AK$2,4,1)&gt;=$AI$193,4,MONTH($AI$193))</f>
        <v>4</v>
      </c>
      <c r="W41" s="1466"/>
      <c r="X41" s="1466"/>
      <c r="Y41" s="1467"/>
      <c r="Z41" s="1465" t="s">
        <v>99</v>
      </c>
      <c r="AA41" s="1466"/>
      <c r="AB41" s="1466"/>
      <c r="AC41" s="1466"/>
      <c r="AD41" s="1466"/>
      <c r="AE41" s="1466"/>
      <c r="AF41" s="1467"/>
      <c r="AG41" s="718"/>
      <c r="AI41" s="76"/>
    </row>
    <row r="42" spans="1:50" ht="15" customHeight="1">
      <c r="A42" s="732" t="s">
        <v>97</v>
      </c>
      <c r="B42" s="933"/>
      <c r="C42" s="934"/>
      <c r="D42" s="960"/>
      <c r="E42" s="960"/>
      <c r="F42" s="960"/>
      <c r="G42" s="960"/>
      <c r="H42" s="960"/>
      <c r="I42" s="960"/>
      <c r="J42" s="960"/>
      <c r="K42" s="960"/>
      <c r="L42" s="960"/>
      <c r="M42" s="960"/>
      <c r="N42" s="960"/>
      <c r="O42" s="960"/>
      <c r="P42" s="960"/>
      <c r="Q42" s="960"/>
      <c r="R42" s="960"/>
      <c r="S42" s="960"/>
      <c r="T42" s="960"/>
      <c r="U42" s="960"/>
      <c r="V42" s="956"/>
      <c r="W42" s="956"/>
      <c r="X42" s="956"/>
      <c r="Y42" s="956"/>
      <c r="Z42" s="956"/>
      <c r="AA42" s="956"/>
      <c r="AB42" s="956"/>
      <c r="AC42" s="956"/>
      <c r="AD42" s="956"/>
      <c r="AE42" s="956"/>
      <c r="AF42" s="957"/>
      <c r="AG42" s="718"/>
    </row>
    <row r="43" spans="1:50">
      <c r="A43" s="725">
        <v>21</v>
      </c>
      <c r="B43" s="1506"/>
      <c r="C43" s="1507"/>
      <c r="D43" s="1507"/>
      <c r="E43" s="1508"/>
      <c r="F43" s="1330" t="s">
        <v>48</v>
      </c>
      <c r="G43" s="1331"/>
      <c r="H43" s="1331"/>
      <c r="I43" s="1331"/>
      <c r="J43" s="1331"/>
      <c r="K43" s="1331"/>
      <c r="L43" s="1331"/>
      <c r="M43" s="1331"/>
      <c r="N43" s="1331"/>
      <c r="O43" s="1331"/>
      <c r="P43" s="1331"/>
      <c r="Q43" s="1331"/>
      <c r="R43" s="1331"/>
      <c r="S43" s="1331"/>
      <c r="T43" s="1331"/>
      <c r="U43" s="1332"/>
      <c r="V43" s="1521" t="s">
        <v>1161</v>
      </c>
      <c r="W43" s="1522"/>
      <c r="X43" s="1522"/>
      <c r="Y43" s="1522"/>
      <c r="Z43" s="1522"/>
      <c r="AA43" s="1522"/>
      <c r="AB43" s="1522"/>
      <c r="AC43" s="1522"/>
      <c r="AD43" s="1522"/>
      <c r="AE43" s="1522"/>
      <c r="AF43" s="1523"/>
      <c r="AG43" s="718"/>
    </row>
    <row r="44" spans="1:50">
      <c r="A44" s="725">
        <v>22</v>
      </c>
      <c r="B44" s="1506"/>
      <c r="C44" s="1507"/>
      <c r="D44" s="1507"/>
      <c r="E44" s="1508"/>
      <c r="F44" s="1330" t="s">
        <v>58</v>
      </c>
      <c r="G44" s="1331"/>
      <c r="H44" s="1331"/>
      <c r="I44" s="1331"/>
      <c r="J44" s="1331"/>
      <c r="K44" s="1331"/>
      <c r="L44" s="1331"/>
      <c r="M44" s="1331"/>
      <c r="N44" s="1331"/>
      <c r="O44" s="1331"/>
      <c r="P44" s="1331"/>
      <c r="Q44" s="1331"/>
      <c r="R44" s="1331"/>
      <c r="S44" s="1331"/>
      <c r="T44" s="1331"/>
      <c r="U44" s="1332"/>
      <c r="V44" s="1524"/>
      <c r="W44" s="1525"/>
      <c r="X44" s="1525"/>
      <c r="Y44" s="1525"/>
      <c r="Z44" s="1525"/>
      <c r="AA44" s="1525"/>
      <c r="AB44" s="1525"/>
      <c r="AC44" s="1525"/>
      <c r="AD44" s="1525"/>
      <c r="AE44" s="1525"/>
      <c r="AF44" s="1526"/>
      <c r="AG44" s="718"/>
    </row>
    <row r="45" spans="1:50">
      <c r="A45" s="725">
        <v>23</v>
      </c>
      <c r="B45" s="1506"/>
      <c r="C45" s="1507"/>
      <c r="D45" s="1507"/>
      <c r="E45" s="1508"/>
      <c r="F45" s="1330" t="s">
        <v>61</v>
      </c>
      <c r="G45" s="1331"/>
      <c r="H45" s="1331"/>
      <c r="I45" s="1331"/>
      <c r="J45" s="1331"/>
      <c r="K45" s="1331"/>
      <c r="L45" s="1331"/>
      <c r="M45" s="1331"/>
      <c r="N45" s="1331"/>
      <c r="O45" s="1331"/>
      <c r="P45" s="1331"/>
      <c r="Q45" s="1331"/>
      <c r="R45" s="1331"/>
      <c r="S45" s="1331"/>
      <c r="T45" s="1331"/>
      <c r="U45" s="1332"/>
      <c r="V45" s="1524"/>
      <c r="W45" s="1525"/>
      <c r="X45" s="1525"/>
      <c r="Y45" s="1525"/>
      <c r="Z45" s="1525"/>
      <c r="AA45" s="1525"/>
      <c r="AB45" s="1525"/>
      <c r="AC45" s="1525"/>
      <c r="AD45" s="1525"/>
      <c r="AE45" s="1525"/>
      <c r="AF45" s="1526"/>
      <c r="AG45" s="718"/>
    </row>
    <row r="46" spans="1:50">
      <c r="A46" s="725">
        <v>24</v>
      </c>
      <c r="B46" s="1506"/>
      <c r="C46" s="1507"/>
      <c r="D46" s="1507"/>
      <c r="E46" s="1508"/>
      <c r="F46" s="1330" t="s">
        <v>62</v>
      </c>
      <c r="G46" s="1331"/>
      <c r="H46" s="1331"/>
      <c r="I46" s="1331"/>
      <c r="J46" s="1331"/>
      <c r="K46" s="1331"/>
      <c r="L46" s="1331"/>
      <c r="M46" s="1331"/>
      <c r="N46" s="1331"/>
      <c r="O46" s="1331"/>
      <c r="P46" s="1331"/>
      <c r="Q46" s="1331"/>
      <c r="R46" s="1331"/>
      <c r="S46" s="1331"/>
      <c r="T46" s="1331"/>
      <c r="U46" s="1332"/>
      <c r="V46" s="1524"/>
      <c r="W46" s="1525"/>
      <c r="X46" s="1525"/>
      <c r="Y46" s="1525"/>
      <c r="Z46" s="1525"/>
      <c r="AA46" s="1525"/>
      <c r="AB46" s="1525"/>
      <c r="AC46" s="1525"/>
      <c r="AD46" s="1525"/>
      <c r="AE46" s="1525"/>
      <c r="AF46" s="1526"/>
      <c r="AG46" s="718"/>
    </row>
    <row r="47" spans="1:50">
      <c r="A47" s="725">
        <v>25</v>
      </c>
      <c r="B47" s="1506"/>
      <c r="C47" s="1507"/>
      <c r="D47" s="1507"/>
      <c r="E47" s="1508"/>
      <c r="F47" s="1330" t="s">
        <v>64</v>
      </c>
      <c r="G47" s="1331"/>
      <c r="H47" s="1331"/>
      <c r="I47" s="1331"/>
      <c r="J47" s="1331"/>
      <c r="K47" s="1331"/>
      <c r="L47" s="1331"/>
      <c r="M47" s="1331"/>
      <c r="N47" s="1331"/>
      <c r="O47" s="1331"/>
      <c r="P47" s="1331"/>
      <c r="Q47" s="1331"/>
      <c r="R47" s="1331"/>
      <c r="S47" s="1331"/>
      <c r="T47" s="1331"/>
      <c r="U47" s="1332"/>
      <c r="V47" s="1527"/>
      <c r="W47" s="1528"/>
      <c r="X47" s="1528"/>
      <c r="Y47" s="1528"/>
      <c r="Z47" s="1528"/>
      <c r="AA47" s="1528"/>
      <c r="AB47" s="1528"/>
      <c r="AC47" s="1528"/>
      <c r="AD47" s="1528"/>
      <c r="AE47" s="1528"/>
      <c r="AF47" s="1529"/>
      <c r="AG47" s="718"/>
    </row>
    <row r="48" spans="1:50">
      <c r="A48" s="725">
        <v>26</v>
      </c>
      <c r="B48" s="1506"/>
      <c r="C48" s="1507"/>
      <c r="D48" s="1507"/>
      <c r="E48" s="1508"/>
      <c r="F48" s="1330" t="s">
        <v>59</v>
      </c>
      <c r="G48" s="1331"/>
      <c r="H48" s="1331"/>
      <c r="I48" s="1331"/>
      <c r="J48" s="1331"/>
      <c r="K48" s="1331"/>
      <c r="L48" s="1331"/>
      <c r="M48" s="1331"/>
      <c r="N48" s="1331"/>
      <c r="O48" s="1331"/>
      <c r="P48" s="1331"/>
      <c r="Q48" s="1331"/>
      <c r="R48" s="1331"/>
      <c r="S48" s="1331"/>
      <c r="T48" s="1331"/>
      <c r="U48" s="1332"/>
      <c r="V48" s="1521" t="s">
        <v>103</v>
      </c>
      <c r="W48" s="1522"/>
      <c r="X48" s="1522"/>
      <c r="Y48" s="1522"/>
      <c r="Z48" s="1522"/>
      <c r="AA48" s="1522"/>
      <c r="AB48" s="1522"/>
      <c r="AC48" s="1522"/>
      <c r="AD48" s="1522"/>
      <c r="AE48" s="1522"/>
      <c r="AF48" s="1523"/>
      <c r="AG48" s="718"/>
    </row>
    <row r="49" spans="1:36">
      <c r="A49" s="725">
        <v>27</v>
      </c>
      <c r="B49" s="1506"/>
      <c r="C49" s="1507"/>
      <c r="D49" s="1507"/>
      <c r="E49" s="1508"/>
      <c r="F49" s="1330" t="s">
        <v>60</v>
      </c>
      <c r="G49" s="1331"/>
      <c r="H49" s="1331"/>
      <c r="I49" s="1331"/>
      <c r="J49" s="1331"/>
      <c r="K49" s="1331"/>
      <c r="L49" s="1331"/>
      <c r="M49" s="1331"/>
      <c r="N49" s="1331"/>
      <c r="O49" s="1331"/>
      <c r="P49" s="1331"/>
      <c r="Q49" s="1331"/>
      <c r="R49" s="1331"/>
      <c r="S49" s="1331"/>
      <c r="T49" s="1331"/>
      <c r="U49" s="1332"/>
      <c r="V49" s="1527"/>
      <c r="W49" s="1528"/>
      <c r="X49" s="1528"/>
      <c r="Y49" s="1528"/>
      <c r="Z49" s="1528"/>
      <c r="AA49" s="1528"/>
      <c r="AB49" s="1528"/>
      <c r="AC49" s="1528"/>
      <c r="AD49" s="1528"/>
      <c r="AE49" s="1528"/>
      <c r="AF49" s="1529"/>
      <c r="AG49" s="718"/>
    </row>
    <row r="50" spans="1:36" ht="15" customHeight="1">
      <c r="A50" s="1518"/>
      <c r="B50" s="1432"/>
      <c r="C50" s="1432"/>
      <c r="D50" s="1432"/>
      <c r="E50" s="1432"/>
      <c r="F50" s="1432"/>
      <c r="G50" s="1432"/>
      <c r="H50" s="1432"/>
      <c r="I50" s="1432"/>
      <c r="J50" s="1432"/>
      <c r="K50" s="1432"/>
      <c r="L50" s="1432"/>
      <c r="M50" s="1432"/>
      <c r="N50" s="1432"/>
      <c r="O50" s="1432"/>
      <c r="P50" s="1432"/>
      <c r="Q50" s="1432"/>
      <c r="R50" s="1432"/>
      <c r="S50" s="1432"/>
      <c r="T50" s="1432"/>
      <c r="U50" s="1432"/>
      <c r="V50" s="1432"/>
      <c r="W50" s="1432"/>
      <c r="X50" s="1432"/>
      <c r="Y50" s="1432"/>
      <c r="Z50" s="1432"/>
      <c r="AA50" s="1432"/>
      <c r="AB50" s="1432"/>
      <c r="AC50" s="1432"/>
      <c r="AD50" s="1432"/>
      <c r="AE50" s="1432"/>
      <c r="AF50" s="1432"/>
      <c r="AG50" s="718"/>
    </row>
    <row r="51" spans="1:36" ht="15" customHeight="1" thickBot="1">
      <c r="A51" s="1519"/>
      <c r="B51" s="1520"/>
      <c r="C51" s="1520"/>
      <c r="D51" s="1520"/>
      <c r="E51" s="1520"/>
      <c r="F51" s="1520"/>
      <c r="G51" s="1520"/>
      <c r="H51" s="1520"/>
      <c r="I51" s="1520"/>
      <c r="J51" s="1520"/>
      <c r="K51" s="1520"/>
      <c r="L51" s="1520"/>
      <c r="M51" s="1520"/>
      <c r="N51" s="1520"/>
      <c r="O51" s="1520"/>
      <c r="P51" s="1520"/>
      <c r="Q51" s="1520"/>
      <c r="R51" s="1520"/>
      <c r="S51" s="1520"/>
      <c r="T51" s="1520"/>
      <c r="U51" s="1520"/>
      <c r="V51" s="1520"/>
      <c r="W51" s="1520"/>
      <c r="X51" s="1520"/>
      <c r="Y51" s="1520"/>
      <c r="Z51" s="1520"/>
      <c r="AA51" s="1520"/>
      <c r="AB51" s="1520"/>
      <c r="AC51" s="1520"/>
      <c r="AD51" s="1520"/>
      <c r="AE51" s="1520"/>
      <c r="AF51" s="1520"/>
      <c r="AG51" s="733"/>
    </row>
    <row r="52" spans="1:36" ht="15" customHeight="1">
      <c r="A52" s="1517" t="s">
        <v>65</v>
      </c>
      <c r="B52" s="1517"/>
      <c r="C52" s="1517"/>
      <c r="D52" s="1517"/>
      <c r="E52" s="1517"/>
      <c r="F52" s="1517"/>
      <c r="G52" s="1517"/>
      <c r="H52" s="1517"/>
      <c r="I52" s="1517"/>
      <c r="J52" s="1517"/>
      <c r="K52" s="1517"/>
      <c r="L52" s="1517"/>
      <c r="M52" s="1517"/>
      <c r="N52" s="1517"/>
      <c r="O52" s="1517"/>
      <c r="P52" s="1517"/>
      <c r="Q52" s="1517"/>
      <c r="R52" s="1517"/>
      <c r="S52" s="1517"/>
      <c r="T52" s="1517"/>
      <c r="U52" s="1517"/>
      <c r="V52" s="1517"/>
      <c r="W52" s="1517"/>
      <c r="X52" s="1517"/>
      <c r="Y52" s="1517"/>
      <c r="Z52" s="1517"/>
      <c r="AA52" s="1517"/>
      <c r="AB52" s="1517"/>
      <c r="AC52" s="1517"/>
      <c r="AD52" s="1517"/>
      <c r="AE52" s="1517"/>
      <c r="AF52" s="1517"/>
      <c r="AG52" s="1517"/>
    </row>
    <row r="53" spans="1:36" ht="15" customHeight="1">
      <c r="A53" s="1410" t="s">
        <v>176</v>
      </c>
      <c r="B53" s="1410"/>
      <c r="C53" s="1410"/>
      <c r="D53" s="1410"/>
      <c r="E53" s="1410"/>
      <c r="F53" s="1410"/>
      <c r="G53" s="1410"/>
      <c r="H53" s="1410"/>
      <c r="I53" s="1410"/>
      <c r="J53" s="1410"/>
      <c r="K53" s="1410"/>
      <c r="L53" s="1410"/>
      <c r="M53" s="1410"/>
      <c r="N53" s="1410"/>
      <c r="O53" s="1410"/>
      <c r="P53" s="1410"/>
      <c r="Q53" s="1410"/>
      <c r="R53" s="1410"/>
      <c r="S53" s="1410"/>
      <c r="T53" s="1410"/>
      <c r="U53" s="1410"/>
      <c r="V53" s="1410"/>
      <c r="W53" s="1410"/>
      <c r="X53" s="1410"/>
      <c r="Y53" s="1410"/>
      <c r="Z53" s="1410"/>
      <c r="AA53" s="1410"/>
      <c r="AB53" s="1410"/>
      <c r="AC53" s="1410"/>
      <c r="AD53" s="1410"/>
      <c r="AE53" s="1410"/>
      <c r="AF53" s="1410"/>
      <c r="AG53" s="1410"/>
    </row>
    <row r="54" spans="1:36" ht="24.95" customHeight="1" thickBot="1">
      <c r="A54" s="1410" t="s">
        <v>177</v>
      </c>
      <c r="B54" s="1410"/>
      <c r="C54" s="1410"/>
      <c r="D54" s="1410"/>
      <c r="E54" s="1410"/>
      <c r="F54" s="1410"/>
      <c r="G54" s="1410"/>
      <c r="H54" s="1410"/>
      <c r="I54" s="1410"/>
      <c r="J54" s="1410"/>
      <c r="K54" s="1410"/>
      <c r="L54" s="1410"/>
      <c r="M54" s="1410"/>
      <c r="N54" s="1410"/>
      <c r="O54" s="1410"/>
      <c r="P54" s="1410"/>
      <c r="Q54" s="1410"/>
      <c r="R54" s="1410"/>
      <c r="S54" s="1410"/>
      <c r="T54" s="1410"/>
      <c r="U54" s="1410"/>
      <c r="V54" s="1410"/>
      <c r="W54" s="1410"/>
      <c r="X54" s="1410"/>
      <c r="Y54" s="1410"/>
      <c r="Z54" s="1410"/>
      <c r="AA54" s="1410"/>
      <c r="AB54" s="1410"/>
      <c r="AC54" s="1410"/>
      <c r="AD54" s="1410"/>
      <c r="AE54" s="1410"/>
      <c r="AF54" s="1410"/>
      <c r="AG54" s="1410"/>
    </row>
    <row r="55" spans="1:36" ht="15" customHeight="1" thickBot="1">
      <c r="A55" s="1487" t="s">
        <v>292</v>
      </c>
      <c r="B55" s="1487"/>
      <c r="C55" s="1487"/>
      <c r="D55" s="1487"/>
      <c r="E55" s="1487"/>
      <c r="F55" s="1487"/>
      <c r="G55" s="1487"/>
      <c r="H55" s="1487"/>
      <c r="I55" s="1488"/>
      <c r="J55" s="1311" t="str">
        <f>IF(AND(AI57,AI58,AI62,AJ57,AJ58),"○","×")</f>
        <v>×</v>
      </c>
      <c r="K55" s="1312"/>
      <c r="L55" s="1312"/>
      <c r="M55" s="1312"/>
      <c r="N55" s="1313"/>
      <c r="O55" s="1427" t="s">
        <v>167</v>
      </c>
      <c r="P55" s="1277"/>
      <c r="Q55" s="1277"/>
      <c r="R55" s="958"/>
      <c r="S55" s="958"/>
      <c r="T55" s="958"/>
      <c r="U55" s="958"/>
      <c r="V55" s="958"/>
      <c r="W55" s="958"/>
      <c r="X55" s="958"/>
      <c r="Y55" s="958"/>
      <c r="Z55" s="958"/>
      <c r="AA55" s="958"/>
      <c r="AB55" s="958"/>
      <c r="AC55" s="958"/>
      <c r="AD55" s="958"/>
      <c r="AE55" s="958"/>
      <c r="AF55" s="958"/>
      <c r="AG55" s="958"/>
    </row>
    <row r="56" spans="1:36" ht="15" customHeight="1">
      <c r="A56" s="1297" t="s">
        <v>329</v>
      </c>
      <c r="B56" s="1298"/>
      <c r="C56" s="1298"/>
      <c r="D56" s="1298"/>
      <c r="E56" s="1298"/>
      <c r="F56" s="1295" t="s">
        <v>131</v>
      </c>
      <c r="G56" s="1295"/>
      <c r="H56" s="1295"/>
      <c r="I56" s="1295"/>
      <c r="J56" s="1341"/>
      <c r="K56" s="1341"/>
      <c r="L56" s="1341"/>
      <c r="M56" s="1341"/>
      <c r="N56" s="1341"/>
      <c r="O56" s="1295"/>
      <c r="P56" s="1295"/>
      <c r="Q56" s="1295"/>
      <c r="R56" s="1295"/>
      <c r="S56" s="1295"/>
      <c r="T56" s="1295"/>
      <c r="U56" s="1295"/>
      <c r="V56" s="1295"/>
      <c r="W56" s="1295"/>
      <c r="X56" s="1295"/>
      <c r="Y56" s="1295"/>
      <c r="Z56" s="1296"/>
      <c r="AA56" s="1294" t="s">
        <v>170</v>
      </c>
      <c r="AB56" s="1295"/>
      <c r="AC56" s="1295"/>
      <c r="AD56" s="1296"/>
      <c r="AE56" s="1354" t="s">
        <v>414</v>
      </c>
      <c r="AF56" s="1355"/>
      <c r="AG56" s="1356"/>
    </row>
    <row r="57" spans="1:36" ht="15" customHeight="1">
      <c r="A57" s="1299"/>
      <c r="B57" s="1300"/>
      <c r="C57" s="1300"/>
      <c r="D57" s="1300"/>
      <c r="E57" s="1300"/>
      <c r="F57" s="734">
        <v>1</v>
      </c>
      <c r="G57" s="1331" t="s">
        <v>327</v>
      </c>
      <c r="H57" s="1331"/>
      <c r="I57" s="1331"/>
      <c r="J57" s="1331"/>
      <c r="K57" s="1331"/>
      <c r="L57" s="1331"/>
      <c r="M57" s="1331"/>
      <c r="N57" s="1331"/>
      <c r="O57" s="1331"/>
      <c r="P57" s="1331"/>
      <c r="Q57" s="1331"/>
      <c r="R57" s="1331"/>
      <c r="S57" s="1331"/>
      <c r="T57" s="1331"/>
      <c r="U57" s="1331"/>
      <c r="V57" s="1331"/>
      <c r="W57" s="1331"/>
      <c r="X57" s="1331"/>
      <c r="Y57" s="1331"/>
      <c r="Z57" s="1332"/>
      <c r="AA57" s="1634"/>
      <c r="AB57" s="1316"/>
      <c r="AC57" s="1316"/>
      <c r="AD57" s="1635"/>
      <c r="AE57" s="1354" t="str">
        <f>【様式５】職員数算出表!O16</f>
        <v>-</v>
      </c>
      <c r="AF57" s="1355"/>
      <c r="AG57" s="1356"/>
      <c r="AI57" s="312" t="b">
        <f t="shared" ref="AI57:AI64" si="5">AA57="○"</f>
        <v>0</v>
      </c>
      <c r="AJ57" s="312" t="b">
        <f>AE57="○"</f>
        <v>0</v>
      </c>
    </row>
    <row r="58" spans="1:36" ht="15" customHeight="1">
      <c r="A58" s="1299"/>
      <c r="B58" s="1300"/>
      <c r="C58" s="1300"/>
      <c r="D58" s="1300"/>
      <c r="E58" s="1300"/>
      <c r="F58" s="942">
        <v>2</v>
      </c>
      <c r="G58" s="1530" t="s">
        <v>411</v>
      </c>
      <c r="H58" s="1530"/>
      <c r="I58" s="1530"/>
      <c r="J58" s="1530"/>
      <c r="K58" s="1530"/>
      <c r="L58" s="1530"/>
      <c r="M58" s="1530"/>
      <c r="N58" s="1530"/>
      <c r="O58" s="1530"/>
      <c r="P58" s="1530"/>
      <c r="Q58" s="1530"/>
      <c r="R58" s="1530"/>
      <c r="S58" s="1530"/>
      <c r="T58" s="1530"/>
      <c r="U58" s="1530"/>
      <c r="V58" s="1530"/>
      <c r="W58" s="1530"/>
      <c r="X58" s="1530"/>
      <c r="Y58" s="1530"/>
      <c r="Z58" s="1531"/>
      <c r="AA58" s="1290" t="str">
        <f>IF(COUNTIF(AI59:AI61,TRUE)=1,"○","×")</f>
        <v>×</v>
      </c>
      <c r="AB58" s="1291"/>
      <c r="AC58" s="1291"/>
      <c r="AD58" s="1292"/>
      <c r="AE58" s="1297" t="str">
        <f>【様式５】職員数算出表!O17</f>
        <v>×</v>
      </c>
      <c r="AF58" s="1298"/>
      <c r="AG58" s="1659"/>
      <c r="AI58" s="312" t="b">
        <f t="shared" si="5"/>
        <v>0</v>
      </c>
      <c r="AJ58" s="1492" t="b">
        <f>AE58="○"</f>
        <v>0</v>
      </c>
    </row>
    <row r="59" spans="1:36" ht="15" customHeight="1">
      <c r="A59" s="1299"/>
      <c r="B59" s="1300"/>
      <c r="C59" s="1300"/>
      <c r="D59" s="1300"/>
      <c r="E59" s="1300"/>
      <c r="F59" s="1485" t="s">
        <v>295</v>
      </c>
      <c r="G59" s="1486"/>
      <c r="H59" s="1288" t="s">
        <v>299</v>
      </c>
      <c r="I59" s="1288"/>
      <c r="J59" s="1288"/>
      <c r="K59" s="1288"/>
      <c r="L59" s="1288"/>
      <c r="M59" s="1288"/>
      <c r="N59" s="1288"/>
      <c r="O59" s="1288"/>
      <c r="P59" s="1288"/>
      <c r="Q59" s="1288"/>
      <c r="R59" s="1288"/>
      <c r="S59" s="1288"/>
      <c r="T59" s="1288"/>
      <c r="U59" s="1288"/>
      <c r="V59" s="1288"/>
      <c r="W59" s="1288"/>
      <c r="X59" s="1288"/>
      <c r="Y59" s="1288"/>
      <c r="Z59" s="1289"/>
      <c r="AA59" s="1282"/>
      <c r="AB59" s="1283"/>
      <c r="AC59" s="1283"/>
      <c r="AD59" s="1284"/>
      <c r="AE59" s="1299"/>
      <c r="AF59" s="1300"/>
      <c r="AG59" s="1660"/>
      <c r="AI59" s="312" t="b">
        <f t="shared" si="5"/>
        <v>0</v>
      </c>
      <c r="AJ59" s="1493"/>
    </row>
    <row r="60" spans="1:36" ht="24.95" customHeight="1">
      <c r="A60" s="1299"/>
      <c r="B60" s="1300"/>
      <c r="C60" s="1300"/>
      <c r="D60" s="1300"/>
      <c r="E60" s="1300"/>
      <c r="F60" s="1485" t="s">
        <v>296</v>
      </c>
      <c r="G60" s="1486"/>
      <c r="H60" s="1288" t="s">
        <v>498</v>
      </c>
      <c r="I60" s="1288"/>
      <c r="J60" s="1288"/>
      <c r="K60" s="1288"/>
      <c r="L60" s="1288"/>
      <c r="M60" s="1288"/>
      <c r="N60" s="1288"/>
      <c r="O60" s="1288"/>
      <c r="P60" s="1288"/>
      <c r="Q60" s="1288"/>
      <c r="R60" s="1288"/>
      <c r="S60" s="1288"/>
      <c r="T60" s="1288"/>
      <c r="U60" s="1288"/>
      <c r="V60" s="1288"/>
      <c r="W60" s="1288"/>
      <c r="X60" s="1288"/>
      <c r="Y60" s="1288"/>
      <c r="Z60" s="1289"/>
      <c r="AA60" s="1282"/>
      <c r="AB60" s="1283"/>
      <c r="AC60" s="1283"/>
      <c r="AD60" s="1284"/>
      <c r="AE60" s="1299"/>
      <c r="AF60" s="1300"/>
      <c r="AG60" s="1660"/>
      <c r="AI60" s="312" t="b">
        <f t="shared" si="5"/>
        <v>0</v>
      </c>
      <c r="AJ60" s="1493"/>
    </row>
    <row r="61" spans="1:36" ht="15" customHeight="1">
      <c r="A61" s="1299"/>
      <c r="B61" s="1300"/>
      <c r="C61" s="1300"/>
      <c r="D61" s="1300"/>
      <c r="E61" s="1300"/>
      <c r="F61" s="1475" t="s">
        <v>297</v>
      </c>
      <c r="G61" s="1414"/>
      <c r="H61" s="1504" t="s">
        <v>300</v>
      </c>
      <c r="I61" s="1504"/>
      <c r="J61" s="1504"/>
      <c r="K61" s="1504"/>
      <c r="L61" s="1504"/>
      <c r="M61" s="1504"/>
      <c r="N61" s="1504"/>
      <c r="O61" s="1504"/>
      <c r="P61" s="1504"/>
      <c r="Q61" s="1504"/>
      <c r="R61" s="1504"/>
      <c r="S61" s="1504"/>
      <c r="T61" s="1504"/>
      <c r="U61" s="1504"/>
      <c r="V61" s="1504"/>
      <c r="W61" s="1504"/>
      <c r="X61" s="1504"/>
      <c r="Y61" s="1504"/>
      <c r="Z61" s="1505"/>
      <c r="AA61" s="1285"/>
      <c r="AB61" s="1286"/>
      <c r="AC61" s="1286"/>
      <c r="AD61" s="1287"/>
      <c r="AE61" s="1314"/>
      <c r="AF61" s="1315"/>
      <c r="AG61" s="1661"/>
      <c r="AI61" s="312" t="b">
        <f t="shared" si="5"/>
        <v>0</v>
      </c>
      <c r="AJ61" s="1494"/>
    </row>
    <row r="62" spans="1:36" ht="15" customHeight="1">
      <c r="A62" s="1299"/>
      <c r="B62" s="1300"/>
      <c r="C62" s="1300"/>
      <c r="D62" s="1300"/>
      <c r="E62" s="1300"/>
      <c r="F62" s="942">
        <v>3</v>
      </c>
      <c r="G62" s="1657" t="s">
        <v>412</v>
      </c>
      <c r="H62" s="1657"/>
      <c r="I62" s="1657"/>
      <c r="J62" s="1657"/>
      <c r="K62" s="1657"/>
      <c r="L62" s="1657"/>
      <c r="M62" s="1657"/>
      <c r="N62" s="1657"/>
      <c r="O62" s="1657"/>
      <c r="P62" s="1657"/>
      <c r="Q62" s="1657"/>
      <c r="R62" s="1657"/>
      <c r="S62" s="1657"/>
      <c r="T62" s="1657"/>
      <c r="U62" s="1657"/>
      <c r="V62" s="1657"/>
      <c r="W62" s="1657"/>
      <c r="X62" s="1657"/>
      <c r="Y62" s="1657"/>
      <c r="Z62" s="1658"/>
      <c r="AA62" s="1290" t="str">
        <f>IF(COUNTIF(AI63:AI64,TRUE)=1,"○","×")</f>
        <v>×</v>
      </c>
      <c r="AB62" s="1291"/>
      <c r="AC62" s="1291"/>
      <c r="AD62" s="1292"/>
      <c r="AE62" s="1297" t="str">
        <f>【様式５】職員数算出表!O22</f>
        <v>×</v>
      </c>
      <c r="AF62" s="1298"/>
      <c r="AG62" s="1659"/>
      <c r="AI62" s="312" t="b">
        <f t="shared" si="5"/>
        <v>0</v>
      </c>
      <c r="AJ62" s="1543"/>
    </row>
    <row r="63" spans="1:36" ht="15" customHeight="1">
      <c r="A63" s="1299"/>
      <c r="B63" s="1300"/>
      <c r="C63" s="1300"/>
      <c r="D63" s="1300"/>
      <c r="E63" s="1300"/>
      <c r="F63" s="1485" t="s">
        <v>295</v>
      </c>
      <c r="G63" s="1486"/>
      <c r="H63" s="1288" t="s">
        <v>294</v>
      </c>
      <c r="I63" s="1288"/>
      <c r="J63" s="1288"/>
      <c r="K63" s="1288"/>
      <c r="L63" s="1288"/>
      <c r="M63" s="1288"/>
      <c r="N63" s="1288"/>
      <c r="O63" s="1288"/>
      <c r="P63" s="1288"/>
      <c r="Q63" s="1288"/>
      <c r="R63" s="1288"/>
      <c r="S63" s="1288"/>
      <c r="T63" s="1288"/>
      <c r="U63" s="1288"/>
      <c r="V63" s="1288"/>
      <c r="W63" s="1288"/>
      <c r="X63" s="1288"/>
      <c r="Y63" s="1288"/>
      <c r="Z63" s="1289"/>
      <c r="AA63" s="1282"/>
      <c r="AB63" s="1283"/>
      <c r="AC63" s="1283"/>
      <c r="AD63" s="1284"/>
      <c r="AE63" s="1299"/>
      <c r="AF63" s="1300"/>
      <c r="AG63" s="1660"/>
      <c r="AI63" s="312" t="b">
        <f t="shared" si="5"/>
        <v>0</v>
      </c>
      <c r="AJ63" s="1544"/>
    </row>
    <row r="64" spans="1:36" ht="15" customHeight="1">
      <c r="A64" s="1314"/>
      <c r="B64" s="1315"/>
      <c r="C64" s="1315"/>
      <c r="D64" s="1315"/>
      <c r="E64" s="1315"/>
      <c r="F64" s="1475" t="s">
        <v>296</v>
      </c>
      <c r="G64" s="1414"/>
      <c r="H64" s="1504" t="s">
        <v>293</v>
      </c>
      <c r="I64" s="1504"/>
      <c r="J64" s="1504"/>
      <c r="K64" s="1504"/>
      <c r="L64" s="1504"/>
      <c r="M64" s="1504"/>
      <c r="N64" s="1504"/>
      <c r="O64" s="1504"/>
      <c r="P64" s="1504"/>
      <c r="Q64" s="1504"/>
      <c r="R64" s="1504"/>
      <c r="S64" s="1504"/>
      <c r="T64" s="1504"/>
      <c r="U64" s="1504"/>
      <c r="V64" s="1504"/>
      <c r="W64" s="1504"/>
      <c r="X64" s="1504"/>
      <c r="Y64" s="1504"/>
      <c r="Z64" s="1505"/>
      <c r="AA64" s="1285"/>
      <c r="AB64" s="1286"/>
      <c r="AC64" s="1286"/>
      <c r="AD64" s="1287"/>
      <c r="AE64" s="1314"/>
      <c r="AF64" s="1315"/>
      <c r="AG64" s="1661"/>
      <c r="AI64" s="312" t="b">
        <f t="shared" si="5"/>
        <v>0</v>
      </c>
      <c r="AJ64" s="1545"/>
    </row>
    <row r="65" spans="1:36" ht="15" customHeight="1">
      <c r="A65" s="1343" t="s">
        <v>67</v>
      </c>
      <c r="B65" s="1344"/>
      <c r="C65" s="1344"/>
      <c r="D65" s="1344"/>
      <c r="E65" s="1345"/>
      <c r="F65" s="1509" t="s">
        <v>413</v>
      </c>
      <c r="G65" s="1411"/>
      <c r="H65" s="1411"/>
      <c r="I65" s="1411"/>
      <c r="J65" s="1411"/>
      <c r="K65" s="1411"/>
      <c r="L65" s="1411"/>
      <c r="M65" s="1411"/>
      <c r="N65" s="1411"/>
      <c r="O65" s="1411"/>
      <c r="P65" s="1411"/>
      <c r="Q65" s="1411"/>
      <c r="R65" s="1411"/>
      <c r="S65" s="1411"/>
      <c r="T65" s="1411"/>
      <c r="U65" s="1411"/>
      <c r="V65" s="1411"/>
      <c r="W65" s="1411"/>
      <c r="X65" s="1411"/>
      <c r="Y65" s="1411"/>
      <c r="Z65" s="1411"/>
      <c r="AA65" s="1411"/>
      <c r="AB65" s="1411"/>
      <c r="AC65" s="1411"/>
      <c r="AD65" s="1411"/>
      <c r="AE65" s="1411"/>
      <c r="AF65" s="1411"/>
      <c r="AG65" s="1412"/>
      <c r="AI65" s="185"/>
      <c r="AJ65" s="185"/>
    </row>
    <row r="66" spans="1:36" ht="15" customHeight="1">
      <c r="A66" s="1293" t="s">
        <v>328</v>
      </c>
      <c r="B66" s="1293"/>
      <c r="C66" s="1293"/>
      <c r="D66" s="1293"/>
      <c r="E66" s="1293"/>
      <c r="F66" s="1293"/>
      <c r="G66" s="1293"/>
      <c r="H66" s="1293"/>
      <c r="I66" s="1293"/>
      <c r="J66" s="1293"/>
      <c r="K66" s="1293"/>
      <c r="L66" s="1293"/>
      <c r="M66" s="1293"/>
      <c r="N66" s="1293"/>
      <c r="O66" s="1293"/>
      <c r="P66" s="1293"/>
      <c r="Q66" s="1293"/>
      <c r="R66" s="1293"/>
      <c r="S66" s="1293"/>
      <c r="T66" s="1293"/>
      <c r="U66" s="1293"/>
      <c r="V66" s="1293"/>
      <c r="W66" s="1293"/>
      <c r="X66" s="1293"/>
      <c r="Y66" s="1293"/>
      <c r="Z66" s="1293"/>
      <c r="AA66" s="1293"/>
      <c r="AB66" s="1293"/>
      <c r="AC66" s="1293"/>
      <c r="AD66" s="1293"/>
      <c r="AE66" s="1293"/>
      <c r="AF66" s="1293"/>
      <c r="AG66" s="1293"/>
    </row>
    <row r="67" spans="1:36" ht="15" customHeight="1" thickBot="1">
      <c r="A67" s="707"/>
      <c r="B67" s="707"/>
      <c r="C67" s="707"/>
      <c r="D67" s="707"/>
      <c r="E67" s="707"/>
      <c r="F67" s="707"/>
      <c r="G67" s="707"/>
      <c r="H67" s="707"/>
      <c r="I67" s="707"/>
      <c r="J67" s="707"/>
      <c r="K67" s="707"/>
      <c r="L67" s="707"/>
      <c r="M67" s="707"/>
      <c r="N67" s="707"/>
      <c r="O67" s="707"/>
      <c r="P67" s="707"/>
      <c r="Q67" s="707"/>
      <c r="R67" s="707"/>
      <c r="S67" s="707"/>
      <c r="T67" s="707"/>
      <c r="U67" s="707"/>
      <c r="V67" s="707"/>
      <c r="W67" s="707"/>
      <c r="X67" s="707"/>
      <c r="Y67" s="707"/>
      <c r="Z67" s="707"/>
      <c r="AA67" s="707"/>
      <c r="AB67" s="707"/>
      <c r="AC67" s="707"/>
      <c r="AD67" s="707"/>
      <c r="AE67" s="707"/>
      <c r="AF67" s="707"/>
      <c r="AG67" s="707"/>
    </row>
    <row r="68" spans="1:36" ht="15" customHeight="1" thickBot="1">
      <c r="A68" s="1301" t="s">
        <v>1141</v>
      </c>
      <c r="B68" s="1301"/>
      <c r="C68" s="1301"/>
      <c r="D68" s="1301"/>
      <c r="E68" s="1301"/>
      <c r="F68" s="1301"/>
      <c r="G68" s="1301"/>
      <c r="H68" s="1301"/>
      <c r="I68" s="1302"/>
      <c r="J68" s="1311" t="str">
        <f>IF(AI69,"○","×")</f>
        <v>×</v>
      </c>
      <c r="K68" s="1312"/>
      <c r="L68" s="1312"/>
      <c r="M68" s="1312"/>
      <c r="N68" s="1313"/>
      <c r="O68" s="1427" t="s">
        <v>167</v>
      </c>
      <c r="P68" s="1277"/>
      <c r="Q68" s="1277"/>
      <c r="R68" s="707"/>
      <c r="S68" s="707"/>
      <c r="T68" s="707"/>
      <c r="U68" s="707"/>
      <c r="V68" s="715"/>
      <c r="W68" s="715"/>
      <c r="X68" s="715"/>
      <c r="Y68" s="715"/>
      <c r="Z68" s="715"/>
      <c r="AA68" s="715"/>
      <c r="AB68" s="715"/>
      <c r="AC68" s="715"/>
      <c r="AD68" s="715"/>
      <c r="AE68" s="715"/>
      <c r="AF68" s="707"/>
      <c r="AG68" s="707"/>
    </row>
    <row r="69" spans="1:36" ht="15" customHeight="1">
      <c r="A69" s="1340" t="s">
        <v>168</v>
      </c>
      <c r="B69" s="1341"/>
      <c r="C69" s="1341"/>
      <c r="D69" s="1341"/>
      <c r="E69" s="1342"/>
      <c r="F69" s="1546"/>
      <c r="G69" s="1547"/>
      <c r="H69" s="1547"/>
      <c r="I69" s="1547"/>
      <c r="J69" s="1547"/>
      <c r="K69" s="1548"/>
      <c r="L69" s="707"/>
      <c r="M69" s="707"/>
      <c r="N69" s="707"/>
      <c r="O69" s="707"/>
      <c r="P69" s="707"/>
      <c r="Q69" s="707"/>
      <c r="R69" s="707"/>
      <c r="S69" s="707"/>
      <c r="T69" s="707"/>
      <c r="U69" s="707"/>
      <c r="V69" s="935"/>
      <c r="W69" s="935"/>
      <c r="X69" s="935"/>
      <c r="Y69" s="935"/>
      <c r="Z69" s="935"/>
      <c r="AA69" s="935"/>
      <c r="AB69" s="935"/>
      <c r="AC69" s="935"/>
      <c r="AD69" s="935"/>
      <c r="AE69" s="715"/>
      <c r="AF69" s="707"/>
      <c r="AG69" s="707"/>
      <c r="AI69" s="312" t="b">
        <f>F69="申請する"</f>
        <v>0</v>
      </c>
    </row>
    <row r="70" spans="1:36" ht="15" customHeight="1">
      <c r="A70" s="1389" t="s">
        <v>90</v>
      </c>
      <c r="B70" s="1389"/>
      <c r="C70" s="1389"/>
      <c r="D70" s="1389"/>
      <c r="E70" s="1389"/>
      <c r="F70" s="1389"/>
      <c r="G70" s="1389"/>
      <c r="H70" s="1389"/>
      <c r="I70" s="1389"/>
      <c r="J70" s="1389"/>
      <c r="K70" s="1389"/>
      <c r="L70" s="1389"/>
      <c r="M70" s="1389"/>
      <c r="N70" s="1389"/>
      <c r="O70" s="1389"/>
      <c r="P70" s="1389"/>
      <c r="Q70" s="1389"/>
      <c r="R70" s="1389"/>
      <c r="S70" s="1389"/>
      <c r="T70" s="1389"/>
      <c r="U70" s="1389"/>
      <c r="V70" s="1389"/>
      <c r="W70" s="1389"/>
      <c r="X70" s="1389"/>
      <c r="Y70" s="1389"/>
      <c r="Z70" s="1389"/>
      <c r="AA70" s="1389"/>
      <c r="AB70" s="1389"/>
      <c r="AC70" s="1389"/>
      <c r="AD70" s="1389"/>
      <c r="AE70" s="1389"/>
      <c r="AF70" s="1389"/>
      <c r="AG70" s="1389"/>
      <c r="AI70" s="938"/>
    </row>
    <row r="71" spans="1:36" ht="15" customHeight="1" thickBot="1">
      <c r="A71" s="958"/>
      <c r="B71" s="958"/>
      <c r="C71" s="958"/>
      <c r="D71" s="958"/>
      <c r="E71" s="958"/>
      <c r="F71" s="958"/>
      <c r="G71" s="958"/>
      <c r="H71" s="958"/>
      <c r="I71" s="958"/>
      <c r="J71" s="958"/>
      <c r="K71" s="958"/>
      <c r="L71" s="958"/>
      <c r="M71" s="958"/>
      <c r="N71" s="958"/>
      <c r="O71" s="958"/>
      <c r="P71" s="958"/>
      <c r="Q71" s="958"/>
      <c r="R71" s="958"/>
      <c r="S71" s="958"/>
      <c r="T71" s="958"/>
      <c r="U71" s="958"/>
      <c r="V71" s="958"/>
      <c r="W71" s="958"/>
      <c r="X71" s="958"/>
      <c r="Y71" s="958"/>
      <c r="Z71" s="958"/>
      <c r="AA71" s="958"/>
      <c r="AB71" s="958"/>
      <c r="AC71" s="958"/>
      <c r="AD71" s="958"/>
      <c r="AE71" s="958"/>
      <c r="AF71" s="958"/>
      <c r="AG71" s="958"/>
      <c r="AI71" s="938"/>
    </row>
    <row r="72" spans="1:36" ht="15" customHeight="1" thickBot="1">
      <c r="A72" s="1301" t="s">
        <v>66</v>
      </c>
      <c r="B72" s="1301"/>
      <c r="C72" s="1301"/>
      <c r="D72" s="1301"/>
      <c r="E72" s="1301"/>
      <c r="F72" s="1301"/>
      <c r="G72" s="1301"/>
      <c r="H72" s="1301"/>
      <c r="I72" s="1302"/>
      <c r="J72" s="1311" t="str">
        <f>IF(AND(AI73,AI75,AI76,AI77,AI78,AI79),"○","×")</f>
        <v>×</v>
      </c>
      <c r="K72" s="1312"/>
      <c r="L72" s="1312"/>
      <c r="M72" s="1312"/>
      <c r="N72" s="1313"/>
      <c r="O72" s="1427" t="s">
        <v>167</v>
      </c>
      <c r="P72" s="1277"/>
      <c r="Q72" s="1277"/>
      <c r="R72" s="707"/>
      <c r="S72" s="707"/>
      <c r="T72" s="707"/>
      <c r="U72" s="707"/>
      <c r="V72" s="715"/>
      <c r="W72" s="715"/>
      <c r="X72" s="715"/>
      <c r="Y72" s="715"/>
      <c r="Z72" s="715"/>
      <c r="AA72" s="715"/>
      <c r="AB72" s="715"/>
      <c r="AC72" s="715"/>
      <c r="AD72" s="715"/>
      <c r="AE72" s="715"/>
      <c r="AF72" s="707"/>
      <c r="AG72" s="707"/>
      <c r="AI72" s="938"/>
    </row>
    <row r="73" spans="1:36" ht="15" customHeight="1">
      <c r="A73" s="1294" t="s">
        <v>168</v>
      </c>
      <c r="B73" s="1295"/>
      <c r="C73" s="1295"/>
      <c r="D73" s="1295"/>
      <c r="E73" s="1296"/>
      <c r="F73" s="1546"/>
      <c r="G73" s="1547"/>
      <c r="H73" s="1547"/>
      <c r="I73" s="1547"/>
      <c r="J73" s="1547"/>
      <c r="K73" s="1548"/>
      <c r="L73" s="707"/>
      <c r="M73" s="707"/>
      <c r="N73" s="707"/>
      <c r="O73" s="707"/>
      <c r="P73" s="707"/>
      <c r="Q73" s="707"/>
      <c r="R73" s="707"/>
      <c r="S73" s="707"/>
      <c r="T73" s="707"/>
      <c r="U73" s="707"/>
      <c r="V73" s="935"/>
      <c r="W73" s="935"/>
      <c r="X73" s="935"/>
      <c r="Y73" s="935"/>
      <c r="Z73" s="935"/>
      <c r="AA73" s="935"/>
      <c r="AB73" s="935"/>
      <c r="AC73" s="935"/>
      <c r="AD73" s="935"/>
      <c r="AE73" s="715"/>
      <c r="AF73" s="707"/>
      <c r="AG73" s="707"/>
      <c r="AI73" s="312" t="b">
        <f>F73="申請する"</f>
        <v>0</v>
      </c>
    </row>
    <row r="74" spans="1:36" ht="15" customHeight="1">
      <c r="A74" s="1297" t="s">
        <v>330</v>
      </c>
      <c r="B74" s="1298"/>
      <c r="C74" s="1298"/>
      <c r="D74" s="1298"/>
      <c r="E74" s="1298"/>
      <c r="F74" s="1295" t="s">
        <v>169</v>
      </c>
      <c r="G74" s="1295"/>
      <c r="H74" s="1295"/>
      <c r="I74" s="1295"/>
      <c r="J74" s="1295"/>
      <c r="K74" s="1295"/>
      <c r="L74" s="1295"/>
      <c r="M74" s="1295"/>
      <c r="N74" s="1295"/>
      <c r="O74" s="1295"/>
      <c r="P74" s="1295"/>
      <c r="Q74" s="1295"/>
      <c r="R74" s="1295"/>
      <c r="S74" s="1295"/>
      <c r="T74" s="1295"/>
      <c r="U74" s="1295"/>
      <c r="V74" s="1295"/>
      <c r="W74" s="1295"/>
      <c r="X74" s="1295"/>
      <c r="Y74" s="1295"/>
      <c r="Z74" s="1296"/>
      <c r="AA74" s="1294" t="s">
        <v>170</v>
      </c>
      <c r="AB74" s="1295"/>
      <c r="AC74" s="1295"/>
      <c r="AD74" s="1296"/>
      <c r="AE74" s="715"/>
      <c r="AF74" s="707"/>
      <c r="AG74" s="707"/>
      <c r="AI74" s="938"/>
    </row>
    <row r="75" spans="1:36" ht="24.95" customHeight="1">
      <c r="A75" s="1299"/>
      <c r="B75" s="1300"/>
      <c r="C75" s="1300"/>
      <c r="D75" s="1300"/>
      <c r="E75" s="1300"/>
      <c r="F75" s="944">
        <v>1</v>
      </c>
      <c r="G75" s="1349" t="s">
        <v>415</v>
      </c>
      <c r="H75" s="1349"/>
      <c r="I75" s="1349"/>
      <c r="J75" s="1349"/>
      <c r="K75" s="1349"/>
      <c r="L75" s="1349"/>
      <c r="M75" s="1349"/>
      <c r="N75" s="1349"/>
      <c r="O75" s="1349"/>
      <c r="P75" s="1349"/>
      <c r="Q75" s="1349"/>
      <c r="R75" s="1349"/>
      <c r="S75" s="1349"/>
      <c r="T75" s="1349"/>
      <c r="U75" s="1349"/>
      <c r="V75" s="1349"/>
      <c r="W75" s="1349"/>
      <c r="X75" s="1349"/>
      <c r="Y75" s="1349"/>
      <c r="Z75" s="1350"/>
      <c r="AA75" s="1351"/>
      <c r="AB75" s="1352"/>
      <c r="AC75" s="1352"/>
      <c r="AD75" s="1353"/>
      <c r="AE75" s="707"/>
      <c r="AF75" s="707"/>
      <c r="AG75" s="707"/>
      <c r="AI75" s="312" t="b">
        <f>AA75="○"</f>
        <v>0</v>
      </c>
    </row>
    <row r="76" spans="1:36" ht="39.950000000000003" customHeight="1">
      <c r="A76" s="1299"/>
      <c r="B76" s="1300"/>
      <c r="C76" s="1300"/>
      <c r="D76" s="1300"/>
      <c r="E76" s="1300"/>
      <c r="F76" s="942">
        <v>2</v>
      </c>
      <c r="G76" s="1349" t="s">
        <v>416</v>
      </c>
      <c r="H76" s="1349"/>
      <c r="I76" s="1349"/>
      <c r="J76" s="1349"/>
      <c r="K76" s="1349"/>
      <c r="L76" s="1349"/>
      <c r="M76" s="1349"/>
      <c r="N76" s="1349"/>
      <c r="O76" s="1349"/>
      <c r="P76" s="1349"/>
      <c r="Q76" s="1349"/>
      <c r="R76" s="1349"/>
      <c r="S76" s="1349"/>
      <c r="T76" s="1349"/>
      <c r="U76" s="1349"/>
      <c r="V76" s="1349"/>
      <c r="W76" s="1349"/>
      <c r="X76" s="1349"/>
      <c r="Y76" s="1349"/>
      <c r="Z76" s="1350"/>
      <c r="AA76" s="1351"/>
      <c r="AB76" s="1352"/>
      <c r="AC76" s="1352"/>
      <c r="AD76" s="1353"/>
      <c r="AE76" s="707"/>
      <c r="AF76" s="707"/>
      <c r="AG76" s="707"/>
      <c r="AI76" s="312" t="b">
        <f>AA76="○"</f>
        <v>0</v>
      </c>
    </row>
    <row r="77" spans="1:36" ht="15" customHeight="1">
      <c r="A77" s="1299"/>
      <c r="B77" s="1300"/>
      <c r="C77" s="1300"/>
      <c r="D77" s="1300"/>
      <c r="E77" s="1300"/>
      <c r="F77" s="735">
        <v>3</v>
      </c>
      <c r="G77" s="1349" t="s">
        <v>326</v>
      </c>
      <c r="H77" s="1349"/>
      <c r="I77" s="1349"/>
      <c r="J77" s="1349"/>
      <c r="K77" s="1349"/>
      <c r="L77" s="1349"/>
      <c r="M77" s="1349"/>
      <c r="N77" s="1349"/>
      <c r="O77" s="1349"/>
      <c r="P77" s="1349"/>
      <c r="Q77" s="1349"/>
      <c r="R77" s="1349"/>
      <c r="S77" s="1349"/>
      <c r="T77" s="1349"/>
      <c r="U77" s="1349"/>
      <c r="V77" s="1349"/>
      <c r="W77" s="1349"/>
      <c r="X77" s="1349"/>
      <c r="Y77" s="1349"/>
      <c r="Z77" s="1350"/>
      <c r="AA77" s="1351"/>
      <c r="AB77" s="1352"/>
      <c r="AC77" s="1352"/>
      <c r="AD77" s="1353"/>
      <c r="AE77" s="707"/>
      <c r="AF77" s="707"/>
      <c r="AG77" s="707"/>
      <c r="AI77" s="312" t="b">
        <f>AA77="○"</f>
        <v>0</v>
      </c>
    </row>
    <row r="78" spans="1:36" ht="15" customHeight="1">
      <c r="A78" s="1299"/>
      <c r="B78" s="1300"/>
      <c r="C78" s="1300"/>
      <c r="D78" s="1300"/>
      <c r="E78" s="1300"/>
      <c r="F78" s="933">
        <v>4</v>
      </c>
      <c r="G78" s="1349" t="s">
        <v>331</v>
      </c>
      <c r="H78" s="1349"/>
      <c r="I78" s="1349"/>
      <c r="J78" s="1349"/>
      <c r="K78" s="1349"/>
      <c r="L78" s="1349"/>
      <c r="M78" s="1349"/>
      <c r="N78" s="1349"/>
      <c r="O78" s="1349"/>
      <c r="P78" s="1349"/>
      <c r="Q78" s="1349"/>
      <c r="R78" s="1349"/>
      <c r="S78" s="1349"/>
      <c r="T78" s="1349"/>
      <c r="U78" s="1349"/>
      <c r="V78" s="1349"/>
      <c r="W78" s="1349"/>
      <c r="X78" s="1349"/>
      <c r="Y78" s="1349"/>
      <c r="Z78" s="1350"/>
      <c r="AA78" s="1354" t="str">
        <f>【様式５】職員数算出表!O23</f>
        <v>-</v>
      </c>
      <c r="AB78" s="1355"/>
      <c r="AC78" s="1355"/>
      <c r="AD78" s="1356"/>
      <c r="AE78" s="707"/>
      <c r="AF78" s="707"/>
      <c r="AG78" s="707"/>
      <c r="AI78" s="312" t="b">
        <f>AA78="○"</f>
        <v>0</v>
      </c>
    </row>
    <row r="79" spans="1:36" ht="24.95" customHeight="1">
      <c r="A79" s="1299"/>
      <c r="B79" s="1300"/>
      <c r="C79" s="1300"/>
      <c r="D79" s="1300"/>
      <c r="E79" s="1300"/>
      <c r="F79" s="933">
        <v>5</v>
      </c>
      <c r="G79" s="1530" t="s">
        <v>467</v>
      </c>
      <c r="H79" s="1530"/>
      <c r="I79" s="1530"/>
      <c r="J79" s="1530"/>
      <c r="K79" s="1530"/>
      <c r="L79" s="1530"/>
      <c r="M79" s="1530"/>
      <c r="N79" s="1530"/>
      <c r="O79" s="1530"/>
      <c r="P79" s="1530"/>
      <c r="Q79" s="1530"/>
      <c r="R79" s="1530"/>
      <c r="S79" s="1530"/>
      <c r="T79" s="1530"/>
      <c r="U79" s="1530"/>
      <c r="V79" s="1530"/>
      <c r="W79" s="1530"/>
      <c r="X79" s="1530"/>
      <c r="Y79" s="1530"/>
      <c r="Z79" s="1531"/>
      <c r="AA79" s="1668"/>
      <c r="AB79" s="1669"/>
      <c r="AC79" s="1669"/>
      <c r="AD79" s="1670"/>
      <c r="AE79" s="707"/>
      <c r="AF79" s="707"/>
      <c r="AG79" s="707"/>
      <c r="AI79" s="1492" t="b">
        <f>OR(AA79="○",AND(AA79="×",AA80="○"),AND(AA79="×",AA80="×",AA81="○"))</f>
        <v>0</v>
      </c>
    </row>
    <row r="80" spans="1:36" ht="24.95" customHeight="1">
      <c r="A80" s="1299"/>
      <c r="B80" s="1300"/>
      <c r="C80" s="1300"/>
      <c r="D80" s="1300"/>
      <c r="E80" s="1300"/>
      <c r="F80" s="1485" t="s">
        <v>25</v>
      </c>
      <c r="G80" s="1486"/>
      <c r="H80" s="1288" t="s">
        <v>466</v>
      </c>
      <c r="I80" s="1288"/>
      <c r="J80" s="1288"/>
      <c r="K80" s="1288"/>
      <c r="L80" s="1288"/>
      <c r="M80" s="1288"/>
      <c r="N80" s="1288"/>
      <c r="O80" s="1288"/>
      <c r="P80" s="1288"/>
      <c r="Q80" s="1288"/>
      <c r="R80" s="1288"/>
      <c r="S80" s="1288"/>
      <c r="T80" s="1288"/>
      <c r="U80" s="1288"/>
      <c r="V80" s="1288"/>
      <c r="W80" s="1288"/>
      <c r="X80" s="1288"/>
      <c r="Y80" s="1288"/>
      <c r="Z80" s="1289"/>
      <c r="AA80" s="1282"/>
      <c r="AB80" s="1283"/>
      <c r="AC80" s="1283"/>
      <c r="AD80" s="1284"/>
      <c r="AE80" s="707"/>
      <c r="AF80" s="707"/>
      <c r="AG80" s="707"/>
      <c r="AI80" s="1493"/>
    </row>
    <row r="81" spans="1:39" ht="39.950000000000003" customHeight="1">
      <c r="A81" s="1299"/>
      <c r="B81" s="1300"/>
      <c r="C81" s="1300"/>
      <c r="D81" s="1300"/>
      <c r="E81" s="1300"/>
      <c r="F81" s="1679" t="s">
        <v>179</v>
      </c>
      <c r="G81" s="1680"/>
      <c r="H81" s="1495" t="s">
        <v>465</v>
      </c>
      <c r="I81" s="1495"/>
      <c r="J81" s="1495"/>
      <c r="K81" s="1495"/>
      <c r="L81" s="1495"/>
      <c r="M81" s="1495"/>
      <c r="N81" s="1495"/>
      <c r="O81" s="1495"/>
      <c r="P81" s="1495"/>
      <c r="Q81" s="1495"/>
      <c r="R81" s="1495"/>
      <c r="S81" s="1495"/>
      <c r="T81" s="1495"/>
      <c r="U81" s="1495"/>
      <c r="V81" s="1495"/>
      <c r="W81" s="1495"/>
      <c r="X81" s="1495"/>
      <c r="Y81" s="1495"/>
      <c r="Z81" s="1496"/>
      <c r="AA81" s="1671" t="str">
        <f>IF(【様式５】職員数算出表!N24="○",【様式５】職員数算出表!O23,"")</f>
        <v/>
      </c>
      <c r="AB81" s="1671"/>
      <c r="AC81" s="1671"/>
      <c r="AD81" s="1672"/>
      <c r="AE81" s="707"/>
      <c r="AF81" s="707"/>
      <c r="AG81" s="707"/>
      <c r="AI81" s="1494"/>
    </row>
    <row r="82" spans="1:39" ht="15" customHeight="1">
      <c r="A82" s="1273" t="s">
        <v>67</v>
      </c>
      <c r="B82" s="1274"/>
      <c r="C82" s="1274"/>
      <c r="D82" s="1274"/>
      <c r="E82" s="1275"/>
      <c r="F82" s="1512" t="s">
        <v>419</v>
      </c>
      <c r="G82" s="1513"/>
      <c r="H82" s="1513"/>
      <c r="I82" s="1513"/>
      <c r="J82" s="1513"/>
      <c r="K82" s="1513"/>
      <c r="L82" s="1513"/>
      <c r="M82" s="1513"/>
      <c r="N82" s="1513"/>
      <c r="O82" s="1513"/>
      <c r="P82" s="1513"/>
      <c r="Q82" s="1513"/>
      <c r="R82" s="1513"/>
      <c r="S82" s="1513"/>
      <c r="T82" s="1513"/>
      <c r="U82" s="1513"/>
      <c r="V82" s="1513"/>
      <c r="W82" s="1513"/>
      <c r="X82" s="1513"/>
      <c r="Y82" s="1513"/>
      <c r="Z82" s="1513"/>
      <c r="AA82" s="1513"/>
      <c r="AB82" s="1513"/>
      <c r="AC82" s="1513"/>
      <c r="AD82" s="1514"/>
      <c r="AE82" s="707"/>
      <c r="AF82" s="707"/>
      <c r="AG82" s="707"/>
      <c r="AI82" s="938"/>
    </row>
    <row r="83" spans="1:39" ht="15" customHeight="1">
      <c r="A83" s="1276"/>
      <c r="B83" s="1277"/>
      <c r="C83" s="1277"/>
      <c r="D83" s="1277"/>
      <c r="E83" s="1278"/>
      <c r="F83" s="1666" t="s">
        <v>420</v>
      </c>
      <c r="G83" s="1566"/>
      <c r="H83" s="1566"/>
      <c r="I83" s="1566"/>
      <c r="J83" s="1566"/>
      <c r="K83" s="1566"/>
      <c r="L83" s="1566"/>
      <c r="M83" s="1566"/>
      <c r="N83" s="1566"/>
      <c r="O83" s="1566"/>
      <c r="P83" s="1566"/>
      <c r="Q83" s="1566"/>
      <c r="R83" s="1566"/>
      <c r="S83" s="1566"/>
      <c r="T83" s="1566"/>
      <c r="U83" s="1566"/>
      <c r="V83" s="1566"/>
      <c r="W83" s="1566"/>
      <c r="X83" s="1566"/>
      <c r="Y83" s="1566"/>
      <c r="Z83" s="1566"/>
      <c r="AA83" s="1566"/>
      <c r="AB83" s="1566"/>
      <c r="AC83" s="1566"/>
      <c r="AD83" s="1667"/>
      <c r="AE83" s="707"/>
      <c r="AF83" s="707"/>
      <c r="AG83" s="707"/>
      <c r="AI83" s="938"/>
    </row>
    <row r="84" spans="1:39" ht="15" customHeight="1">
      <c r="A84" s="1276"/>
      <c r="B84" s="1277"/>
      <c r="C84" s="1277"/>
      <c r="D84" s="1277"/>
      <c r="E84" s="1278"/>
      <c r="F84" s="1666" t="s">
        <v>421</v>
      </c>
      <c r="G84" s="1566"/>
      <c r="H84" s="1566"/>
      <c r="I84" s="1566"/>
      <c r="J84" s="1566"/>
      <c r="K84" s="1566"/>
      <c r="L84" s="1566"/>
      <c r="M84" s="1566"/>
      <c r="N84" s="1566"/>
      <c r="O84" s="1566"/>
      <c r="P84" s="1566"/>
      <c r="Q84" s="1566"/>
      <c r="R84" s="1566"/>
      <c r="S84" s="1566"/>
      <c r="T84" s="1566"/>
      <c r="U84" s="1566"/>
      <c r="V84" s="1566"/>
      <c r="W84" s="1566"/>
      <c r="X84" s="1566"/>
      <c r="Y84" s="1566"/>
      <c r="Z84" s="1566"/>
      <c r="AA84" s="1566"/>
      <c r="AB84" s="1566"/>
      <c r="AC84" s="1566"/>
      <c r="AD84" s="1667"/>
      <c r="AE84" s="707"/>
      <c r="AF84" s="707"/>
      <c r="AG84" s="707"/>
      <c r="AI84" s="938"/>
    </row>
    <row r="85" spans="1:39" ht="24.95" customHeight="1">
      <c r="A85" s="1276"/>
      <c r="B85" s="1277"/>
      <c r="C85" s="1277"/>
      <c r="D85" s="1277"/>
      <c r="E85" s="1278"/>
      <c r="F85" s="1688" t="s">
        <v>956</v>
      </c>
      <c r="G85" s="1689"/>
      <c r="H85" s="1689"/>
      <c r="I85" s="1689"/>
      <c r="J85" s="1689"/>
      <c r="K85" s="1689"/>
      <c r="L85" s="1689"/>
      <c r="M85" s="1689"/>
      <c r="N85" s="1689"/>
      <c r="O85" s="1689"/>
      <c r="P85" s="1689"/>
      <c r="Q85" s="1689"/>
      <c r="R85" s="1689"/>
      <c r="S85" s="1689"/>
      <c r="T85" s="1689"/>
      <c r="U85" s="1689"/>
      <c r="V85" s="1689"/>
      <c r="W85" s="1689"/>
      <c r="X85" s="1689"/>
      <c r="Y85" s="1689"/>
      <c r="Z85" s="1689"/>
      <c r="AA85" s="1689"/>
      <c r="AB85" s="1689"/>
      <c r="AC85" s="1689"/>
      <c r="AD85" s="1690"/>
      <c r="AE85" s="707"/>
      <c r="AF85" s="707"/>
      <c r="AG85" s="707"/>
      <c r="AI85" s="938"/>
    </row>
    <row r="86" spans="1:39" ht="15" customHeight="1">
      <c r="A86" s="1340"/>
      <c r="B86" s="1341"/>
      <c r="C86" s="1341"/>
      <c r="D86" s="1341"/>
      <c r="E86" s="1342"/>
      <c r="F86" s="1604" t="s">
        <v>422</v>
      </c>
      <c r="G86" s="1605"/>
      <c r="H86" s="1605"/>
      <c r="I86" s="1605"/>
      <c r="J86" s="1605"/>
      <c r="K86" s="1605"/>
      <c r="L86" s="1605"/>
      <c r="M86" s="1605"/>
      <c r="N86" s="1605"/>
      <c r="O86" s="1605"/>
      <c r="P86" s="1605"/>
      <c r="Q86" s="1605"/>
      <c r="R86" s="1605"/>
      <c r="S86" s="1605"/>
      <c r="T86" s="1605"/>
      <c r="U86" s="1605"/>
      <c r="V86" s="1605"/>
      <c r="W86" s="1605"/>
      <c r="X86" s="1605"/>
      <c r="Y86" s="1605"/>
      <c r="Z86" s="1605"/>
      <c r="AA86" s="1605"/>
      <c r="AB86" s="1605"/>
      <c r="AC86" s="1605"/>
      <c r="AD86" s="1606"/>
      <c r="AE86" s="707"/>
      <c r="AF86" s="707"/>
      <c r="AG86" s="707"/>
      <c r="AI86" s="938"/>
    </row>
    <row r="87" spans="1:39" ht="15" customHeight="1" thickBot="1">
      <c r="A87" s="707"/>
      <c r="B87" s="707"/>
      <c r="C87" s="707"/>
      <c r="D87" s="707"/>
      <c r="E87" s="707"/>
      <c r="F87" s="707"/>
      <c r="G87" s="707"/>
      <c r="H87" s="707"/>
      <c r="I87" s="707"/>
      <c r="J87" s="707"/>
      <c r="K87" s="707"/>
      <c r="L87" s="707"/>
      <c r="M87" s="707"/>
      <c r="N87" s="707"/>
      <c r="O87" s="707"/>
      <c r="P87" s="707"/>
      <c r="Q87" s="707"/>
      <c r="R87" s="707"/>
      <c r="S87" s="707"/>
      <c r="T87" s="707"/>
      <c r="U87" s="707"/>
      <c r="V87" s="707"/>
      <c r="W87" s="707"/>
      <c r="X87" s="707"/>
      <c r="Y87" s="707"/>
      <c r="Z87" s="707"/>
      <c r="AA87" s="707"/>
      <c r="AB87" s="707"/>
      <c r="AC87" s="707"/>
      <c r="AD87" s="707"/>
      <c r="AE87" s="707"/>
      <c r="AF87" s="707"/>
      <c r="AG87" s="707"/>
      <c r="AI87" s="938"/>
    </row>
    <row r="88" spans="1:39" ht="15" customHeight="1" thickBot="1">
      <c r="A88" s="1487" t="s">
        <v>68</v>
      </c>
      <c r="B88" s="1487"/>
      <c r="C88" s="1487"/>
      <c r="D88" s="1487"/>
      <c r="E88" s="1487"/>
      <c r="F88" s="1487"/>
      <c r="G88" s="1487"/>
      <c r="H88" s="1487"/>
      <c r="I88" s="1487"/>
      <c r="J88" s="1311" t="str">
        <f>IF(AND(AI89,AI91),"○","×")</f>
        <v>×</v>
      </c>
      <c r="K88" s="1312"/>
      <c r="L88" s="1312"/>
      <c r="M88" s="1312"/>
      <c r="N88" s="1313"/>
      <c r="O88" s="1427" t="s">
        <v>167</v>
      </c>
      <c r="P88" s="1277"/>
      <c r="Q88" s="1277"/>
      <c r="R88" s="707"/>
      <c r="S88" s="707"/>
      <c r="T88" s="707"/>
      <c r="U88" s="707"/>
      <c r="V88" s="715"/>
      <c r="W88" s="715"/>
      <c r="X88" s="715"/>
      <c r="Y88" s="715"/>
      <c r="Z88" s="715"/>
      <c r="AA88" s="715"/>
      <c r="AB88" s="715"/>
      <c r="AC88" s="715"/>
      <c r="AD88" s="715"/>
      <c r="AE88" s="707"/>
      <c r="AF88" s="707"/>
      <c r="AG88" s="707"/>
      <c r="AI88" s="938"/>
    </row>
    <row r="89" spans="1:39" s="100" customFormat="1" ht="15" customHeight="1">
      <c r="A89" s="1310" t="s">
        <v>168</v>
      </c>
      <c r="B89" s="1310"/>
      <c r="C89" s="1310"/>
      <c r="D89" s="1310"/>
      <c r="E89" s="1310"/>
      <c r="F89" s="1338"/>
      <c r="G89" s="1338"/>
      <c r="H89" s="1338"/>
      <c r="I89" s="1338"/>
      <c r="J89" s="1339"/>
      <c r="K89" s="1339"/>
      <c r="L89" s="707"/>
      <c r="M89" s="707"/>
      <c r="N89" s="707"/>
      <c r="O89" s="707"/>
      <c r="P89" s="707"/>
      <c r="Q89" s="707"/>
      <c r="R89" s="707"/>
      <c r="S89" s="707"/>
      <c r="T89" s="707"/>
      <c r="U89" s="707"/>
      <c r="V89" s="707"/>
      <c r="W89" s="707"/>
      <c r="X89" s="707"/>
      <c r="Y89" s="707"/>
      <c r="Z89" s="707"/>
      <c r="AA89" s="707"/>
      <c r="AB89" s="707"/>
      <c r="AC89" s="707"/>
      <c r="AD89" s="707"/>
      <c r="AE89" s="707"/>
      <c r="AF89" s="707"/>
      <c r="AG89" s="707"/>
      <c r="AH89" s="87"/>
      <c r="AI89" s="312" t="b">
        <f>F89="申請する"</f>
        <v>0</v>
      </c>
      <c r="AJ89" s="87"/>
      <c r="AK89" s="87"/>
      <c r="AL89" s="87"/>
      <c r="AM89" s="87"/>
    </row>
    <row r="90" spans="1:39" s="100" customFormat="1" ht="15" customHeight="1">
      <c r="A90" s="1422" t="s">
        <v>175</v>
      </c>
      <c r="B90" s="1422"/>
      <c r="C90" s="1422"/>
      <c r="D90" s="1422"/>
      <c r="E90" s="1343"/>
      <c r="F90" s="1296" t="s">
        <v>169</v>
      </c>
      <c r="G90" s="1310"/>
      <c r="H90" s="1310"/>
      <c r="I90" s="1310"/>
      <c r="J90" s="1310"/>
      <c r="K90" s="1310"/>
      <c r="L90" s="1310"/>
      <c r="M90" s="1310"/>
      <c r="N90" s="1310"/>
      <c r="O90" s="1310"/>
      <c r="P90" s="1310"/>
      <c r="Q90" s="1310"/>
      <c r="R90" s="1310"/>
      <c r="S90" s="1310"/>
      <c r="T90" s="1310"/>
      <c r="U90" s="1310"/>
      <c r="V90" s="1310"/>
      <c r="W90" s="1310"/>
      <c r="X90" s="1310"/>
      <c r="Y90" s="1310"/>
      <c r="Z90" s="1310"/>
      <c r="AA90" s="1310" t="s">
        <v>170</v>
      </c>
      <c r="AB90" s="1310"/>
      <c r="AC90" s="1310"/>
      <c r="AD90" s="1310"/>
      <c r="AE90" s="668"/>
      <c r="AF90" s="668"/>
      <c r="AG90" s="668"/>
      <c r="AI90" s="80"/>
    </row>
    <row r="91" spans="1:39" s="100" customFormat="1" ht="15" customHeight="1">
      <c r="A91" s="1422"/>
      <c r="B91" s="1422"/>
      <c r="C91" s="1422"/>
      <c r="D91" s="1422"/>
      <c r="E91" s="1422"/>
      <c r="F91" s="1503" t="s">
        <v>418</v>
      </c>
      <c r="G91" s="1503"/>
      <c r="H91" s="1503"/>
      <c r="I91" s="1503"/>
      <c r="J91" s="1503"/>
      <c r="K91" s="1503"/>
      <c r="L91" s="1503"/>
      <c r="M91" s="1503"/>
      <c r="N91" s="1503"/>
      <c r="O91" s="1503"/>
      <c r="P91" s="1503"/>
      <c r="Q91" s="1503"/>
      <c r="R91" s="1503"/>
      <c r="S91" s="1503"/>
      <c r="T91" s="1503"/>
      <c r="U91" s="1503"/>
      <c r="V91" s="1503"/>
      <c r="W91" s="1503"/>
      <c r="X91" s="1503"/>
      <c r="Y91" s="1503"/>
      <c r="Z91" s="1503"/>
      <c r="AA91" s="1422" t="str">
        <f>【様式５】職員数算出表!O25</f>
        <v>-</v>
      </c>
      <c r="AB91" s="1422"/>
      <c r="AC91" s="1422"/>
      <c r="AD91" s="1422"/>
      <c r="AE91" s="668"/>
      <c r="AF91" s="668"/>
      <c r="AG91" s="668"/>
      <c r="AI91" s="312" t="b">
        <f>AA91="○"</f>
        <v>0</v>
      </c>
    </row>
    <row r="92" spans="1:39" s="100" customFormat="1" ht="15" customHeight="1">
      <c r="A92" s="1343" t="s">
        <v>180</v>
      </c>
      <c r="B92" s="1344"/>
      <c r="C92" s="1344"/>
      <c r="D92" s="1344"/>
      <c r="E92" s="1345"/>
      <c r="F92" s="1411" t="s">
        <v>417</v>
      </c>
      <c r="G92" s="1411"/>
      <c r="H92" s="1411"/>
      <c r="I92" s="1411"/>
      <c r="J92" s="1411"/>
      <c r="K92" s="1411"/>
      <c r="L92" s="1411"/>
      <c r="M92" s="1411"/>
      <c r="N92" s="1411"/>
      <c r="O92" s="1411"/>
      <c r="P92" s="1411"/>
      <c r="Q92" s="1411"/>
      <c r="R92" s="1411"/>
      <c r="S92" s="1411"/>
      <c r="T92" s="1411"/>
      <c r="U92" s="1411"/>
      <c r="V92" s="1411"/>
      <c r="W92" s="1411"/>
      <c r="X92" s="1411"/>
      <c r="Y92" s="1411"/>
      <c r="Z92" s="1411"/>
      <c r="AA92" s="1411"/>
      <c r="AB92" s="1411"/>
      <c r="AC92" s="1411"/>
      <c r="AD92" s="1412"/>
      <c r="AE92" s="668"/>
      <c r="AF92" s="668"/>
      <c r="AG92" s="668"/>
      <c r="AI92" s="80"/>
    </row>
    <row r="93" spans="1:39" s="100" customFormat="1" ht="15" customHeight="1" thickBot="1">
      <c r="A93" s="1193"/>
      <c r="B93" s="1193"/>
      <c r="C93" s="1193"/>
      <c r="D93" s="1193"/>
      <c r="E93" s="1193"/>
      <c r="F93" s="1194"/>
      <c r="G93" s="1194"/>
      <c r="H93" s="1194"/>
      <c r="I93" s="1194"/>
      <c r="J93" s="1194"/>
      <c r="K93" s="1194"/>
      <c r="L93" s="1194"/>
      <c r="M93" s="1194"/>
      <c r="N93" s="1194"/>
      <c r="O93" s="1194"/>
      <c r="P93" s="1194"/>
      <c r="Q93" s="1194"/>
      <c r="R93" s="1194"/>
      <c r="S93" s="1194"/>
      <c r="T93" s="1194"/>
      <c r="U93" s="1194"/>
      <c r="V93" s="1194"/>
      <c r="W93" s="1194"/>
      <c r="X93" s="1194"/>
      <c r="Y93" s="1194"/>
      <c r="Z93" s="1194"/>
      <c r="AA93" s="1194"/>
      <c r="AB93" s="1194"/>
      <c r="AC93" s="1194"/>
      <c r="AD93" s="1194"/>
      <c r="AE93" s="668"/>
      <c r="AF93" s="668"/>
      <c r="AG93" s="668"/>
      <c r="AI93" s="80"/>
    </row>
    <row r="94" spans="1:39" s="100" customFormat="1" ht="15" customHeight="1" thickBot="1">
      <c r="A94" s="1733" t="s">
        <v>1121</v>
      </c>
      <c r="B94" s="1733"/>
      <c r="C94" s="1733"/>
      <c r="D94" s="1733"/>
      <c r="E94" s="1733"/>
      <c r="F94" s="1733"/>
      <c r="G94" s="1733"/>
      <c r="H94" s="1733"/>
      <c r="I94" s="1733"/>
      <c r="J94" s="1734" t="str">
        <f>IF(AND(AI95,AI97,AI98),"○","×")</f>
        <v>×</v>
      </c>
      <c r="K94" s="1735"/>
      <c r="L94" s="1735"/>
      <c r="M94" s="1735"/>
      <c r="N94" s="1736"/>
      <c r="O94" s="1515" t="s">
        <v>167</v>
      </c>
      <c r="P94" s="1516"/>
      <c r="Q94" s="1516"/>
      <c r="R94" s="1203"/>
      <c r="S94" s="1203"/>
      <c r="T94" s="1203"/>
      <c r="U94" s="1203"/>
      <c r="V94" s="1203"/>
      <c r="W94" s="1203"/>
      <c r="X94" s="1203"/>
      <c r="Y94" s="1203"/>
      <c r="Z94" s="1203"/>
      <c r="AA94" s="1203"/>
      <c r="AB94" s="1203"/>
      <c r="AC94" s="1203"/>
      <c r="AD94" s="1203"/>
      <c r="AE94" s="1203"/>
      <c r="AF94" s="1203"/>
      <c r="AG94" s="1203"/>
      <c r="AH94" s="1204"/>
      <c r="AI94" s="1202"/>
    </row>
    <row r="95" spans="1:39" s="100" customFormat="1" ht="15" customHeight="1">
      <c r="A95" s="1510" t="s">
        <v>150</v>
      </c>
      <c r="B95" s="1510"/>
      <c r="C95" s="1510"/>
      <c r="D95" s="1510"/>
      <c r="E95" s="1510"/>
      <c r="F95" s="1338"/>
      <c r="G95" s="1338"/>
      <c r="H95" s="1338"/>
      <c r="I95" s="1338"/>
      <c r="J95" s="1339"/>
      <c r="K95" s="1339"/>
      <c r="L95" s="1217" t="str">
        <f>IF($F$118="申請する","←チーム保育加配加算ありのためこちらは「申請しない」を選択","")</f>
        <v/>
      </c>
      <c r="M95" s="1203"/>
      <c r="N95" s="1203"/>
      <c r="O95" s="1203"/>
      <c r="P95" s="1203"/>
      <c r="Q95" s="1203"/>
      <c r="R95" s="1203"/>
      <c r="S95" s="1203"/>
      <c r="T95" s="1203"/>
      <c r="U95" s="1203"/>
      <c r="V95" s="1203"/>
      <c r="W95" s="1203"/>
      <c r="X95" s="1203"/>
      <c r="Y95" s="1203"/>
      <c r="Z95" s="1203"/>
      <c r="AA95" s="1203"/>
      <c r="AB95" s="1203"/>
      <c r="AC95" s="1203"/>
      <c r="AD95" s="1203"/>
      <c r="AE95" s="1203"/>
      <c r="AF95" s="1203"/>
      <c r="AG95" s="1203"/>
      <c r="AH95" s="1204"/>
      <c r="AI95" s="1192" t="b">
        <f>F95="申請する"</f>
        <v>0</v>
      </c>
    </row>
    <row r="96" spans="1:39" s="100" customFormat="1" ht="15" customHeight="1">
      <c r="A96" s="1673" t="s">
        <v>175</v>
      </c>
      <c r="B96" s="1674"/>
      <c r="C96" s="1674"/>
      <c r="D96" s="1674"/>
      <c r="E96" s="1674"/>
      <c r="F96" s="1691" t="s">
        <v>131</v>
      </c>
      <c r="G96" s="1510"/>
      <c r="H96" s="1510"/>
      <c r="I96" s="1510"/>
      <c r="J96" s="1510"/>
      <c r="K96" s="1510"/>
      <c r="L96" s="1510"/>
      <c r="M96" s="1510"/>
      <c r="N96" s="1510"/>
      <c r="O96" s="1510"/>
      <c r="P96" s="1510"/>
      <c r="Q96" s="1510"/>
      <c r="R96" s="1510"/>
      <c r="S96" s="1510"/>
      <c r="T96" s="1510"/>
      <c r="U96" s="1510"/>
      <c r="V96" s="1510"/>
      <c r="W96" s="1510"/>
      <c r="X96" s="1510"/>
      <c r="Y96" s="1510"/>
      <c r="Z96" s="1510"/>
      <c r="AA96" s="1510" t="s">
        <v>170</v>
      </c>
      <c r="AB96" s="1510"/>
      <c r="AC96" s="1510"/>
      <c r="AD96" s="1510"/>
      <c r="AE96" s="1203"/>
      <c r="AF96" s="1203"/>
      <c r="AG96" s="1203"/>
      <c r="AH96" s="1204"/>
      <c r="AI96" s="1205"/>
    </row>
    <row r="97" spans="1:39" s="100" customFormat="1" ht="15" customHeight="1">
      <c r="A97" s="1675"/>
      <c r="B97" s="1676"/>
      <c r="C97" s="1676"/>
      <c r="D97" s="1676"/>
      <c r="E97" s="1676"/>
      <c r="F97" s="1665" t="s">
        <v>1104</v>
      </c>
      <c r="G97" s="1665"/>
      <c r="H97" s="1665"/>
      <c r="I97" s="1665"/>
      <c r="J97" s="1665"/>
      <c r="K97" s="1665"/>
      <c r="L97" s="1665"/>
      <c r="M97" s="1665"/>
      <c r="N97" s="1665"/>
      <c r="O97" s="1665"/>
      <c r="P97" s="1665"/>
      <c r="Q97" s="1665"/>
      <c r="R97" s="1665"/>
      <c r="S97" s="1665"/>
      <c r="T97" s="1665"/>
      <c r="U97" s="1665"/>
      <c r="V97" s="1665"/>
      <c r="W97" s="1665"/>
      <c r="X97" s="1665"/>
      <c r="Y97" s="1665"/>
      <c r="Z97" s="1665"/>
      <c r="AA97" s="1511" t="str">
        <f>【様式５】職員数算出表!O26</f>
        <v>-</v>
      </c>
      <c r="AB97" s="1511"/>
      <c r="AC97" s="1511"/>
      <c r="AD97" s="1511"/>
      <c r="AE97" s="1203"/>
      <c r="AF97" s="1203"/>
      <c r="AG97" s="1203"/>
      <c r="AH97" s="1204"/>
      <c r="AI97" s="1192" t="b">
        <f>AA97="○"</f>
        <v>0</v>
      </c>
    </row>
    <row r="98" spans="1:39" s="100" customFormat="1" ht="15" customHeight="1">
      <c r="A98" s="1677"/>
      <c r="B98" s="1678"/>
      <c r="C98" s="1678"/>
      <c r="D98" s="1678"/>
      <c r="E98" s="1678"/>
      <c r="F98" s="1664" t="s">
        <v>1105</v>
      </c>
      <c r="G98" s="1665"/>
      <c r="H98" s="1665"/>
      <c r="I98" s="1665"/>
      <c r="J98" s="1665"/>
      <c r="K98" s="1665"/>
      <c r="L98" s="1665"/>
      <c r="M98" s="1665"/>
      <c r="N98" s="1665"/>
      <c r="O98" s="1665"/>
      <c r="P98" s="1665"/>
      <c r="Q98" s="1665"/>
      <c r="R98" s="1665"/>
      <c r="S98" s="1665"/>
      <c r="T98" s="1665"/>
      <c r="U98" s="1665"/>
      <c r="V98" s="1665"/>
      <c r="W98" s="1665"/>
      <c r="X98" s="1665"/>
      <c r="Y98" s="1665"/>
      <c r="Z98" s="1665"/>
      <c r="AA98" s="1511" t="str">
        <f>IF(J117="×","○","×")</f>
        <v>○</v>
      </c>
      <c r="AB98" s="1511"/>
      <c r="AC98" s="1511"/>
      <c r="AD98" s="1511"/>
      <c r="AE98" s="1203"/>
      <c r="AF98" s="1203"/>
      <c r="AG98" s="1203"/>
      <c r="AH98" s="1204"/>
      <c r="AI98" s="1192" t="b">
        <f>AA98="○"</f>
        <v>1</v>
      </c>
    </row>
    <row r="99" spans="1:39" ht="15" customHeight="1">
      <c r="A99" s="1510" t="s">
        <v>67</v>
      </c>
      <c r="B99" s="1510"/>
      <c r="C99" s="1510"/>
      <c r="D99" s="1510"/>
      <c r="E99" s="1510"/>
      <c r="F99" s="1662" t="s">
        <v>413</v>
      </c>
      <c r="G99" s="1637"/>
      <c r="H99" s="1637"/>
      <c r="I99" s="1637"/>
      <c r="J99" s="1637"/>
      <c r="K99" s="1637"/>
      <c r="L99" s="1637"/>
      <c r="M99" s="1637"/>
      <c r="N99" s="1637"/>
      <c r="O99" s="1637"/>
      <c r="P99" s="1637"/>
      <c r="Q99" s="1637"/>
      <c r="R99" s="1637"/>
      <c r="S99" s="1637"/>
      <c r="T99" s="1637"/>
      <c r="U99" s="1637"/>
      <c r="V99" s="1637"/>
      <c r="W99" s="1637"/>
      <c r="X99" s="1637"/>
      <c r="Y99" s="1637"/>
      <c r="Z99" s="1637"/>
      <c r="AA99" s="1637"/>
      <c r="AB99" s="1637"/>
      <c r="AC99" s="1637"/>
      <c r="AD99" s="1663"/>
      <c r="AE99" s="1203"/>
      <c r="AF99" s="1203"/>
      <c r="AG99" s="1203"/>
      <c r="AH99" s="1204"/>
      <c r="AI99" s="1202"/>
      <c r="AJ99" s="100"/>
      <c r="AK99" s="100"/>
      <c r="AL99" s="100"/>
      <c r="AM99" s="100"/>
    </row>
    <row r="100" spans="1:39" ht="15" customHeight="1" thickBot="1">
      <c r="A100" s="1206"/>
      <c r="B100" s="1206"/>
      <c r="C100" s="1206"/>
      <c r="D100" s="1206"/>
      <c r="E100" s="1206"/>
      <c r="F100" s="1207"/>
      <c r="G100" s="1207"/>
      <c r="H100" s="1207"/>
      <c r="I100" s="1207"/>
      <c r="J100" s="1207"/>
      <c r="K100" s="1207"/>
      <c r="L100" s="1207"/>
      <c r="M100" s="1207"/>
      <c r="N100" s="1207"/>
      <c r="O100" s="1207"/>
      <c r="P100" s="1207"/>
      <c r="Q100" s="1207"/>
      <c r="R100" s="1207"/>
      <c r="S100" s="1207"/>
      <c r="T100" s="1207"/>
      <c r="U100" s="1207"/>
      <c r="V100" s="1207"/>
      <c r="W100" s="1207"/>
      <c r="X100" s="1207"/>
      <c r="Y100" s="1207"/>
      <c r="Z100" s="1207"/>
      <c r="AA100" s="1207"/>
      <c r="AB100" s="1207"/>
      <c r="AC100" s="1207"/>
      <c r="AD100" s="1207"/>
      <c r="AE100" s="1203"/>
      <c r="AF100" s="1203"/>
      <c r="AG100" s="1203"/>
      <c r="AH100" s="1204"/>
      <c r="AI100" s="1202"/>
      <c r="AJ100" s="100"/>
      <c r="AK100" s="100"/>
      <c r="AL100" s="100"/>
      <c r="AM100" s="100"/>
    </row>
    <row r="101" spans="1:39" ht="15" customHeight="1" thickBot="1">
      <c r="A101" s="1487" t="s">
        <v>1122</v>
      </c>
      <c r="B101" s="1487"/>
      <c r="C101" s="1487"/>
      <c r="D101" s="1487"/>
      <c r="E101" s="1487"/>
      <c r="F101" s="1487"/>
      <c r="G101" s="1487"/>
      <c r="H101" s="1487"/>
      <c r="I101" s="1487"/>
      <c r="J101" s="1311" t="str">
        <f>IF(AND(AI102,AI104),"○","×")</f>
        <v>×</v>
      </c>
      <c r="K101" s="1312"/>
      <c r="L101" s="1312"/>
      <c r="M101" s="1312"/>
      <c r="N101" s="1313"/>
      <c r="O101" s="1427" t="s">
        <v>167</v>
      </c>
      <c r="P101" s="1277"/>
      <c r="Q101" s="1277"/>
      <c r="R101" s="707"/>
      <c r="S101" s="707"/>
      <c r="T101" s="707"/>
      <c r="U101" s="707"/>
      <c r="V101" s="715"/>
      <c r="W101" s="715"/>
      <c r="X101" s="715"/>
      <c r="Y101" s="715"/>
      <c r="Z101" s="715"/>
      <c r="AA101" s="715"/>
      <c r="AB101" s="715"/>
      <c r="AC101" s="715"/>
      <c r="AD101" s="715"/>
      <c r="AE101" s="707"/>
      <c r="AF101" s="707"/>
      <c r="AG101" s="707"/>
      <c r="AI101" s="938"/>
    </row>
    <row r="102" spans="1:39" ht="15" customHeight="1">
      <c r="A102" s="1310" t="s">
        <v>168</v>
      </c>
      <c r="B102" s="1310"/>
      <c r="C102" s="1310"/>
      <c r="D102" s="1310"/>
      <c r="E102" s="1310"/>
      <c r="F102" s="1338"/>
      <c r="G102" s="1338"/>
      <c r="H102" s="1338"/>
      <c r="I102" s="1338"/>
      <c r="J102" s="1339"/>
      <c r="K102" s="1339"/>
      <c r="L102" s="707"/>
      <c r="M102" s="707"/>
      <c r="N102" s="707"/>
      <c r="O102" s="707"/>
      <c r="P102" s="707"/>
      <c r="Q102" s="707"/>
      <c r="R102" s="707"/>
      <c r="S102" s="707"/>
      <c r="T102" s="707"/>
      <c r="U102" s="707"/>
      <c r="V102" s="707"/>
      <c r="W102" s="707"/>
      <c r="X102" s="707"/>
      <c r="Y102" s="707"/>
      <c r="Z102" s="707"/>
      <c r="AA102" s="707"/>
      <c r="AB102" s="707"/>
      <c r="AC102" s="707"/>
      <c r="AD102" s="707"/>
      <c r="AE102" s="707"/>
      <c r="AF102" s="707"/>
      <c r="AG102" s="707"/>
      <c r="AI102" s="312" t="b">
        <f>F102="申請する"</f>
        <v>0</v>
      </c>
    </row>
    <row r="103" spans="1:39" ht="15" customHeight="1">
      <c r="A103" s="1422" t="s">
        <v>175</v>
      </c>
      <c r="B103" s="1422"/>
      <c r="C103" s="1422"/>
      <c r="D103" s="1422"/>
      <c r="E103" s="1343"/>
      <c r="F103" s="1296" t="s">
        <v>169</v>
      </c>
      <c r="G103" s="1310"/>
      <c r="H103" s="1310"/>
      <c r="I103" s="1310"/>
      <c r="J103" s="1310"/>
      <c r="K103" s="1310"/>
      <c r="L103" s="1310"/>
      <c r="M103" s="1310"/>
      <c r="N103" s="1310"/>
      <c r="O103" s="1310"/>
      <c r="P103" s="1310"/>
      <c r="Q103" s="1310"/>
      <c r="R103" s="1310"/>
      <c r="S103" s="1310"/>
      <c r="T103" s="1310"/>
      <c r="U103" s="1310"/>
      <c r="V103" s="1310"/>
      <c r="W103" s="1310"/>
      <c r="X103" s="1310"/>
      <c r="Y103" s="1310"/>
      <c r="Z103" s="1310"/>
      <c r="AA103" s="1310" t="s">
        <v>170</v>
      </c>
      <c r="AB103" s="1310"/>
      <c r="AC103" s="1310"/>
      <c r="AD103" s="1310"/>
      <c r="AE103" s="668"/>
      <c r="AF103" s="668"/>
      <c r="AG103" s="668"/>
      <c r="AH103" s="100"/>
      <c r="AI103" s="80"/>
    </row>
    <row r="104" spans="1:39" s="100" customFormat="1" ht="15" customHeight="1">
      <c r="A104" s="1422"/>
      <c r="B104" s="1422"/>
      <c r="C104" s="1422"/>
      <c r="D104" s="1422"/>
      <c r="E104" s="1422"/>
      <c r="F104" s="1503" t="s">
        <v>418</v>
      </c>
      <c r="G104" s="1503"/>
      <c r="H104" s="1503"/>
      <c r="I104" s="1503"/>
      <c r="J104" s="1503"/>
      <c r="K104" s="1503"/>
      <c r="L104" s="1503"/>
      <c r="M104" s="1503"/>
      <c r="N104" s="1503"/>
      <c r="O104" s="1503"/>
      <c r="P104" s="1503"/>
      <c r="Q104" s="1503"/>
      <c r="R104" s="1503"/>
      <c r="S104" s="1503"/>
      <c r="T104" s="1503"/>
      <c r="U104" s="1503"/>
      <c r="V104" s="1503"/>
      <c r="W104" s="1503"/>
      <c r="X104" s="1503"/>
      <c r="Y104" s="1503"/>
      <c r="Z104" s="1503"/>
      <c r="AA104" s="1422" t="str">
        <f>【様式５】職員数算出表!O27</f>
        <v>-</v>
      </c>
      <c r="AB104" s="1422"/>
      <c r="AC104" s="1422"/>
      <c r="AD104" s="1422"/>
      <c r="AE104" s="668"/>
      <c r="AF104" s="668"/>
      <c r="AG104" s="668"/>
      <c r="AI104" s="312" t="b">
        <f>AA104="○"</f>
        <v>0</v>
      </c>
      <c r="AJ104" s="87"/>
      <c r="AK104" s="87"/>
      <c r="AL104" s="87"/>
      <c r="AM104" s="87"/>
    </row>
    <row r="105" spans="1:39" s="100" customFormat="1" ht="15" customHeight="1">
      <c r="A105" s="1343" t="s">
        <v>180</v>
      </c>
      <c r="B105" s="1344"/>
      <c r="C105" s="1344"/>
      <c r="D105" s="1344"/>
      <c r="E105" s="1345"/>
      <c r="F105" s="1411" t="s">
        <v>417</v>
      </c>
      <c r="G105" s="1411"/>
      <c r="H105" s="1411"/>
      <c r="I105" s="1411"/>
      <c r="J105" s="1411"/>
      <c r="K105" s="1411"/>
      <c r="L105" s="1411"/>
      <c r="M105" s="1411"/>
      <c r="N105" s="1411"/>
      <c r="O105" s="1411"/>
      <c r="P105" s="1411"/>
      <c r="Q105" s="1411"/>
      <c r="R105" s="1411"/>
      <c r="S105" s="1411"/>
      <c r="T105" s="1411"/>
      <c r="U105" s="1411"/>
      <c r="V105" s="1411"/>
      <c r="W105" s="1411"/>
      <c r="X105" s="1411"/>
      <c r="Y105" s="1411"/>
      <c r="Z105" s="1411"/>
      <c r="AA105" s="1411"/>
      <c r="AB105" s="1411"/>
      <c r="AC105" s="1411"/>
      <c r="AD105" s="1412"/>
      <c r="AE105" s="668"/>
      <c r="AF105" s="668"/>
      <c r="AG105" s="668"/>
      <c r="AI105" s="80"/>
    </row>
    <row r="106" spans="1:39" ht="15" customHeight="1" thickBot="1">
      <c r="A106" s="668"/>
      <c r="B106" s="668"/>
      <c r="C106" s="668"/>
      <c r="D106" s="668"/>
      <c r="E106" s="668"/>
      <c r="F106" s="668"/>
      <c r="G106" s="668"/>
      <c r="H106" s="668"/>
      <c r="I106" s="668"/>
      <c r="J106" s="668"/>
      <c r="K106" s="668"/>
      <c r="L106" s="668"/>
      <c r="M106" s="668"/>
      <c r="N106" s="668"/>
      <c r="O106" s="668"/>
      <c r="P106" s="668"/>
      <c r="Q106" s="668"/>
      <c r="R106" s="668"/>
      <c r="S106" s="668"/>
      <c r="T106" s="668"/>
      <c r="U106" s="668"/>
      <c r="V106" s="668"/>
      <c r="W106" s="668"/>
      <c r="X106" s="668"/>
      <c r="Y106" s="668"/>
      <c r="Z106" s="668"/>
      <c r="AA106" s="668"/>
      <c r="AB106" s="668"/>
      <c r="AC106" s="668"/>
      <c r="AD106" s="668"/>
      <c r="AE106" s="668"/>
      <c r="AF106" s="668"/>
      <c r="AG106" s="668"/>
      <c r="AH106" s="100"/>
      <c r="AI106" s="80"/>
      <c r="AJ106" s="100"/>
      <c r="AK106" s="100"/>
      <c r="AL106" s="100"/>
      <c r="AM106" s="100"/>
    </row>
    <row r="107" spans="1:39" s="100" customFormat="1" ht="15" customHeight="1" thickBot="1">
      <c r="A107" s="1693" t="s">
        <v>1123</v>
      </c>
      <c r="B107" s="1693"/>
      <c r="C107" s="1693"/>
      <c r="D107" s="1693"/>
      <c r="E107" s="1693"/>
      <c r="F107" s="1693"/>
      <c r="G107" s="1693"/>
      <c r="H107" s="1693"/>
      <c r="I107" s="1693"/>
      <c r="J107" s="1311" t="str">
        <f>IF(AND(AI108,AI110,AI112),"○","×")</f>
        <v>×</v>
      </c>
      <c r="K107" s="1312"/>
      <c r="L107" s="1312"/>
      <c r="M107" s="1312"/>
      <c r="N107" s="1313"/>
      <c r="O107" s="1427" t="s">
        <v>167</v>
      </c>
      <c r="P107" s="1277"/>
      <c r="Q107" s="1277"/>
      <c r="R107" s="707"/>
      <c r="S107" s="707"/>
      <c r="T107" s="707"/>
      <c r="U107" s="707"/>
      <c r="V107" s="715"/>
      <c r="W107" s="715"/>
      <c r="X107" s="715"/>
      <c r="Y107" s="715"/>
      <c r="Z107" s="715"/>
      <c r="AA107" s="715"/>
      <c r="AB107" s="715"/>
      <c r="AC107" s="715"/>
      <c r="AD107" s="715"/>
      <c r="AE107" s="707"/>
      <c r="AF107" s="707"/>
      <c r="AG107" s="707"/>
      <c r="AH107" s="87"/>
      <c r="AI107" s="938"/>
      <c r="AJ107" s="87"/>
      <c r="AK107" s="87"/>
      <c r="AL107" s="87"/>
      <c r="AM107" s="87"/>
    </row>
    <row r="108" spans="1:39" s="100" customFormat="1" ht="15" customHeight="1">
      <c r="A108" s="1310" t="s">
        <v>168</v>
      </c>
      <c r="B108" s="1310"/>
      <c r="C108" s="1310"/>
      <c r="D108" s="1310"/>
      <c r="E108" s="1310"/>
      <c r="F108" s="1338"/>
      <c r="G108" s="1338"/>
      <c r="H108" s="1338"/>
      <c r="I108" s="1338"/>
      <c r="J108" s="1339"/>
      <c r="K108" s="1339"/>
      <c r="L108" s="707"/>
      <c r="M108" s="707"/>
      <c r="N108" s="707"/>
      <c r="O108" s="707"/>
      <c r="P108" s="707"/>
      <c r="Q108" s="707"/>
      <c r="R108" s="707"/>
      <c r="S108" s="707"/>
      <c r="T108" s="707"/>
      <c r="U108" s="707"/>
      <c r="V108" s="707"/>
      <c r="W108" s="707"/>
      <c r="X108" s="707"/>
      <c r="Y108" s="707"/>
      <c r="Z108" s="707"/>
      <c r="AA108" s="707"/>
      <c r="AB108" s="707"/>
      <c r="AC108" s="707"/>
      <c r="AD108" s="707"/>
      <c r="AE108" s="707"/>
      <c r="AF108" s="707"/>
      <c r="AG108" s="707"/>
      <c r="AH108" s="87"/>
      <c r="AI108" s="312" t="b">
        <f>F108="申請する"</f>
        <v>0</v>
      </c>
    </row>
    <row r="109" spans="1:39" s="100" customFormat="1" ht="15" customHeight="1">
      <c r="A109" s="1416" t="s">
        <v>718</v>
      </c>
      <c r="B109" s="1417"/>
      <c r="C109" s="1417"/>
      <c r="D109" s="1417"/>
      <c r="E109" s="1417"/>
      <c r="F109" s="1296" t="s">
        <v>169</v>
      </c>
      <c r="G109" s="1310"/>
      <c r="H109" s="1310"/>
      <c r="I109" s="1310"/>
      <c r="J109" s="1310"/>
      <c r="K109" s="1310"/>
      <c r="L109" s="1310"/>
      <c r="M109" s="1310"/>
      <c r="N109" s="1310"/>
      <c r="O109" s="1310"/>
      <c r="P109" s="1310"/>
      <c r="Q109" s="1310"/>
      <c r="R109" s="1310"/>
      <c r="S109" s="1310"/>
      <c r="T109" s="1310"/>
      <c r="U109" s="1310"/>
      <c r="V109" s="1310"/>
      <c r="W109" s="1310"/>
      <c r="X109" s="1310"/>
      <c r="Y109" s="1310"/>
      <c r="Z109" s="1310"/>
      <c r="AA109" s="1310" t="s">
        <v>170</v>
      </c>
      <c r="AB109" s="1310"/>
      <c r="AC109" s="1310"/>
      <c r="AD109" s="1310"/>
      <c r="AE109" s="668"/>
      <c r="AF109" s="668"/>
      <c r="AG109" s="668"/>
      <c r="AI109" s="80"/>
    </row>
    <row r="110" spans="1:39" s="100" customFormat="1" ht="15" customHeight="1">
      <c r="A110" s="1418"/>
      <c r="B110" s="1419"/>
      <c r="C110" s="1419"/>
      <c r="D110" s="1419"/>
      <c r="E110" s="1419"/>
      <c r="F110" s="941">
        <v>1</v>
      </c>
      <c r="G110" s="1394" t="s">
        <v>535</v>
      </c>
      <c r="H110" s="1394"/>
      <c r="I110" s="1394"/>
      <c r="J110" s="1394"/>
      <c r="K110" s="1394"/>
      <c r="L110" s="1394"/>
      <c r="M110" s="1394"/>
      <c r="N110" s="1394"/>
      <c r="O110" s="1394"/>
      <c r="P110" s="1394"/>
      <c r="Q110" s="1394"/>
      <c r="R110" s="1394"/>
      <c r="S110" s="1394"/>
      <c r="T110" s="1394"/>
      <c r="U110" s="1394"/>
      <c r="V110" s="1394"/>
      <c r="W110" s="1394"/>
      <c r="X110" s="1394"/>
      <c r="Y110" s="1394"/>
      <c r="Z110" s="1395"/>
      <c r="AA110" s="1273" t="str">
        <f>IF(OR(M111&lt;=35,M111&gt;=121),"○","×")</f>
        <v>○</v>
      </c>
      <c r="AB110" s="1274"/>
      <c r="AC110" s="1274"/>
      <c r="AD110" s="1275"/>
      <c r="AE110" s="668"/>
      <c r="AF110" s="668"/>
      <c r="AG110" s="668"/>
      <c r="AI110" s="1423" t="b">
        <f>AA110="○"</f>
        <v>1</v>
      </c>
    </row>
    <row r="111" spans="1:39" s="100" customFormat="1" ht="15" customHeight="1">
      <c r="A111" s="1418"/>
      <c r="B111" s="1419"/>
      <c r="C111" s="1419"/>
      <c r="D111" s="1419"/>
      <c r="E111" s="1419"/>
      <c r="F111" s="1364" t="s">
        <v>178</v>
      </c>
      <c r="G111" s="1365"/>
      <c r="H111" s="1365"/>
      <c r="I111" s="1365"/>
      <c r="J111" s="1365"/>
      <c r="K111" s="1365"/>
      <c r="L111" s="1366"/>
      <c r="M111" s="1424">
        <f>D14</f>
        <v>0</v>
      </c>
      <c r="N111" s="1425"/>
      <c r="O111" s="1425"/>
      <c r="P111" s="1425"/>
      <c r="Q111" s="1425"/>
      <c r="R111" s="1425"/>
      <c r="S111" s="1425"/>
      <c r="T111" s="1425"/>
      <c r="U111" s="1425"/>
      <c r="V111" s="1425"/>
      <c r="W111" s="1425"/>
      <c r="X111" s="1425"/>
      <c r="Y111" s="1425"/>
      <c r="Z111" s="1426"/>
      <c r="AA111" s="1340"/>
      <c r="AB111" s="1341"/>
      <c r="AC111" s="1341"/>
      <c r="AD111" s="1342"/>
      <c r="AE111" s="668"/>
      <c r="AF111" s="668"/>
      <c r="AG111" s="668"/>
      <c r="AI111" s="1423"/>
    </row>
    <row r="112" spans="1:39" s="100" customFormat="1" ht="15" customHeight="1">
      <c r="A112" s="1418"/>
      <c r="B112" s="1419"/>
      <c r="C112" s="1419"/>
      <c r="D112" s="1419"/>
      <c r="E112" s="1419"/>
      <c r="F112" s="941">
        <v>2</v>
      </c>
      <c r="G112" s="1430" t="s">
        <v>537</v>
      </c>
      <c r="H112" s="1430"/>
      <c r="I112" s="1430"/>
      <c r="J112" s="1430"/>
      <c r="K112" s="1430"/>
      <c r="L112" s="1430"/>
      <c r="M112" s="1430"/>
      <c r="N112" s="1430"/>
      <c r="O112" s="1430"/>
      <c r="P112" s="1430"/>
      <c r="Q112" s="1430"/>
      <c r="R112" s="1430"/>
      <c r="S112" s="1430"/>
      <c r="T112" s="1430"/>
      <c r="U112" s="1430"/>
      <c r="V112" s="1430"/>
      <c r="W112" s="1430"/>
      <c r="X112" s="1430"/>
      <c r="Y112" s="1430"/>
      <c r="Z112" s="1431"/>
      <c r="AA112" s="1361" t="str">
        <f>【様式５】職員数算出表!O28</f>
        <v>-</v>
      </c>
      <c r="AB112" s="1362"/>
      <c r="AC112" s="1362"/>
      <c r="AD112" s="1363"/>
      <c r="AE112" s="668"/>
      <c r="AF112" s="668"/>
      <c r="AG112" s="668"/>
      <c r="AI112" s="312" t="b">
        <f>AA112="○"</f>
        <v>0</v>
      </c>
    </row>
    <row r="113" spans="1:45" s="100" customFormat="1" ht="15" customHeight="1">
      <c r="A113" s="1422" t="s">
        <v>180</v>
      </c>
      <c r="B113" s="1422"/>
      <c r="C113" s="1422"/>
      <c r="D113" s="1422"/>
      <c r="E113" s="1422"/>
      <c r="F113" s="1692" t="s">
        <v>447</v>
      </c>
      <c r="G113" s="1692"/>
      <c r="H113" s="1692"/>
      <c r="I113" s="1692"/>
      <c r="J113" s="1692"/>
      <c r="K113" s="1692"/>
      <c r="L113" s="1692"/>
      <c r="M113" s="1692"/>
      <c r="N113" s="1692"/>
      <c r="O113" s="1692"/>
      <c r="P113" s="1692"/>
      <c r="Q113" s="1692"/>
      <c r="R113" s="1692"/>
      <c r="S113" s="1692"/>
      <c r="T113" s="1692"/>
      <c r="U113" s="1692"/>
      <c r="V113" s="1692"/>
      <c r="W113" s="1692"/>
      <c r="X113" s="1692"/>
      <c r="Y113" s="1692"/>
      <c r="Z113" s="1692"/>
      <c r="AA113" s="1692"/>
      <c r="AB113" s="1692"/>
      <c r="AC113" s="1692"/>
      <c r="AD113" s="1692"/>
      <c r="AE113" s="668"/>
      <c r="AF113" s="668"/>
      <c r="AG113" s="668"/>
      <c r="AI113" s="80"/>
    </row>
    <row r="114" spans="1:45" s="100" customFormat="1" ht="15" customHeight="1">
      <c r="A114" s="1422"/>
      <c r="B114" s="1422"/>
      <c r="C114" s="1422"/>
      <c r="D114" s="1422"/>
      <c r="E114" s="1422"/>
      <c r="F114" s="1694" t="s">
        <v>1060</v>
      </c>
      <c r="G114" s="1694"/>
      <c r="H114" s="1694"/>
      <c r="I114" s="1694"/>
      <c r="J114" s="1694"/>
      <c r="K114" s="1694"/>
      <c r="L114" s="1694"/>
      <c r="M114" s="1694"/>
      <c r="N114" s="1694"/>
      <c r="O114" s="1694"/>
      <c r="P114" s="1694"/>
      <c r="Q114" s="1694"/>
      <c r="R114" s="1694"/>
      <c r="S114" s="1694"/>
      <c r="T114" s="1694"/>
      <c r="U114" s="1694"/>
      <c r="V114" s="1694"/>
      <c r="W114" s="1694"/>
      <c r="X114" s="1694"/>
      <c r="Y114" s="1694"/>
      <c r="Z114" s="1694"/>
      <c r="AA114" s="1694"/>
      <c r="AB114" s="1694"/>
      <c r="AC114" s="1694"/>
      <c r="AD114" s="1694"/>
      <c r="AE114" s="668"/>
      <c r="AF114" s="668"/>
      <c r="AG114" s="668"/>
      <c r="AI114" s="80"/>
    </row>
    <row r="115" spans="1:45" s="100" customFormat="1" ht="15" customHeight="1">
      <c r="A115" s="594" t="s">
        <v>201</v>
      </c>
      <c r="B115" s="668"/>
      <c r="C115" s="668"/>
      <c r="D115" s="668"/>
      <c r="E115" s="668"/>
      <c r="F115" s="668"/>
      <c r="G115" s="668"/>
      <c r="H115" s="668"/>
      <c r="I115" s="668"/>
      <c r="J115" s="668"/>
      <c r="K115" s="668"/>
      <c r="L115" s="668"/>
      <c r="M115" s="668"/>
      <c r="N115" s="668"/>
      <c r="O115" s="668"/>
      <c r="P115" s="668"/>
      <c r="Q115" s="668"/>
      <c r="R115" s="668"/>
      <c r="S115" s="668"/>
      <c r="T115" s="668"/>
      <c r="U115" s="668"/>
      <c r="V115" s="668"/>
      <c r="W115" s="668"/>
      <c r="X115" s="668"/>
      <c r="Y115" s="668"/>
      <c r="Z115" s="668"/>
      <c r="AA115" s="668"/>
      <c r="AB115" s="668"/>
      <c r="AC115" s="668"/>
      <c r="AD115" s="668"/>
      <c r="AE115" s="668"/>
      <c r="AF115" s="668"/>
      <c r="AG115" s="668"/>
      <c r="AI115" s="80"/>
    </row>
    <row r="116" spans="1:45" ht="15" customHeight="1" thickBot="1">
      <c r="A116" s="668"/>
      <c r="B116" s="668"/>
      <c r="C116" s="668"/>
      <c r="D116" s="668"/>
      <c r="E116" s="100"/>
      <c r="F116" s="668"/>
      <c r="G116" s="668"/>
      <c r="H116" s="668"/>
      <c r="I116" s="668"/>
      <c r="J116" s="668"/>
      <c r="K116" s="668"/>
      <c r="L116" s="668"/>
      <c r="M116" s="668"/>
      <c r="N116" s="668"/>
      <c r="O116" s="668"/>
      <c r="P116" s="668"/>
      <c r="Q116" s="668"/>
      <c r="R116" s="668"/>
      <c r="S116" s="668"/>
      <c r="T116" s="668"/>
      <c r="U116" s="668"/>
      <c r="V116" s="668"/>
      <c r="W116" s="668"/>
      <c r="X116" s="668"/>
      <c r="Y116" s="668"/>
      <c r="Z116" s="668"/>
      <c r="AA116" s="668"/>
      <c r="AB116" s="668"/>
      <c r="AC116" s="668"/>
      <c r="AD116" s="668"/>
      <c r="AE116" s="668"/>
      <c r="AF116" s="668"/>
      <c r="AG116" s="668"/>
      <c r="AH116" s="100"/>
      <c r="AI116" s="80"/>
      <c r="AJ116" s="100"/>
      <c r="AK116" s="100"/>
      <c r="AL116" s="100"/>
      <c r="AM116" s="100"/>
    </row>
    <row r="117" spans="1:45" ht="15" customHeight="1" thickBot="1">
      <c r="A117" s="1301" t="s">
        <v>1124</v>
      </c>
      <c r="B117" s="1301"/>
      <c r="C117" s="1301"/>
      <c r="D117" s="1301"/>
      <c r="E117" s="1301"/>
      <c r="F117" s="1301"/>
      <c r="G117" s="1301"/>
      <c r="H117" s="1301"/>
      <c r="I117" s="1301"/>
      <c r="J117" s="1489" t="str">
        <f>IF(AND(AI118,AI120,AI121),AI122,"×")</f>
        <v>×</v>
      </c>
      <c r="K117" s="1490"/>
      <c r="L117" s="1490"/>
      <c r="M117" s="1490"/>
      <c r="N117" s="1491"/>
      <c r="O117" s="1427" t="s">
        <v>167</v>
      </c>
      <c r="P117" s="1277"/>
      <c r="Q117" s="1277"/>
      <c r="R117" s="707"/>
      <c r="S117" s="707"/>
      <c r="T117" s="707"/>
      <c r="U117" s="707"/>
      <c r="V117" s="715"/>
      <c r="W117" s="715"/>
      <c r="X117" s="715"/>
      <c r="Y117" s="715"/>
      <c r="Z117" s="715"/>
      <c r="AA117" s="715"/>
      <c r="AB117" s="715"/>
      <c r="AC117" s="715"/>
      <c r="AD117" s="715"/>
      <c r="AE117" s="707"/>
      <c r="AF117" s="707"/>
      <c r="AG117" s="707"/>
      <c r="AI117" s="938"/>
    </row>
    <row r="118" spans="1:45" ht="15" customHeight="1">
      <c r="A118" s="1310" t="s">
        <v>168</v>
      </c>
      <c r="B118" s="1310"/>
      <c r="C118" s="1310"/>
      <c r="D118" s="1310"/>
      <c r="E118" s="1310"/>
      <c r="F118" s="1338"/>
      <c r="G118" s="1338"/>
      <c r="H118" s="1338"/>
      <c r="I118" s="1338"/>
      <c r="J118" s="1339"/>
      <c r="K118" s="1339"/>
      <c r="L118" s="707"/>
      <c r="M118" s="707"/>
      <c r="N118" s="707"/>
      <c r="O118" s="707"/>
      <c r="P118" s="707"/>
      <c r="Q118" s="707"/>
      <c r="R118" s="707"/>
      <c r="S118" s="707"/>
      <c r="T118" s="707"/>
      <c r="U118" s="707"/>
      <c r="V118" s="707"/>
      <c r="W118" s="707"/>
      <c r="X118" s="707"/>
      <c r="Y118" s="707"/>
      <c r="Z118" s="707"/>
      <c r="AA118" s="707"/>
      <c r="AB118" s="707"/>
      <c r="AC118" s="707"/>
      <c r="AD118" s="707"/>
      <c r="AE118" s="707"/>
      <c r="AF118" s="707"/>
      <c r="AG118" s="707"/>
      <c r="AI118" s="312" t="b">
        <f>F118="申請する"</f>
        <v>0</v>
      </c>
    </row>
    <row r="119" spans="1:45" ht="15" customHeight="1">
      <c r="A119" s="1416" t="s">
        <v>309</v>
      </c>
      <c r="B119" s="1362"/>
      <c r="C119" s="1362"/>
      <c r="D119" s="1362"/>
      <c r="E119" s="1362"/>
      <c r="F119" s="1296" t="s">
        <v>169</v>
      </c>
      <c r="G119" s="1310"/>
      <c r="H119" s="1310"/>
      <c r="I119" s="1310"/>
      <c r="J119" s="1310"/>
      <c r="K119" s="1310"/>
      <c r="L119" s="1310"/>
      <c r="M119" s="1310"/>
      <c r="N119" s="1310"/>
      <c r="O119" s="1310"/>
      <c r="P119" s="1310"/>
      <c r="Q119" s="1310"/>
      <c r="R119" s="1310"/>
      <c r="S119" s="1310"/>
      <c r="T119" s="1310"/>
      <c r="U119" s="1310"/>
      <c r="V119" s="1310"/>
      <c r="W119" s="1310"/>
      <c r="X119" s="1310"/>
      <c r="Y119" s="1310"/>
      <c r="Z119" s="1310"/>
      <c r="AA119" s="1310" t="s">
        <v>170</v>
      </c>
      <c r="AB119" s="1310"/>
      <c r="AC119" s="1310"/>
      <c r="AD119" s="1310"/>
      <c r="AE119" s="707"/>
      <c r="AF119" s="707"/>
      <c r="AG119" s="707"/>
      <c r="AI119" s="938"/>
    </row>
    <row r="120" spans="1:45" ht="15" customHeight="1">
      <c r="A120" s="1497"/>
      <c r="B120" s="1498"/>
      <c r="C120" s="1498"/>
      <c r="D120" s="1498"/>
      <c r="E120" s="1499"/>
      <c r="F120" s="736">
        <v>1</v>
      </c>
      <c r="G120" s="1346" t="s">
        <v>536</v>
      </c>
      <c r="H120" s="1346"/>
      <c r="I120" s="1346"/>
      <c r="J120" s="1346"/>
      <c r="K120" s="1346"/>
      <c r="L120" s="1346"/>
      <c r="M120" s="1346"/>
      <c r="N120" s="1346"/>
      <c r="O120" s="1346"/>
      <c r="P120" s="1346"/>
      <c r="Q120" s="1346"/>
      <c r="R120" s="1346"/>
      <c r="S120" s="1346"/>
      <c r="T120" s="1346"/>
      <c r="U120" s="1346"/>
      <c r="V120" s="1346"/>
      <c r="W120" s="1346"/>
      <c r="X120" s="1346"/>
      <c r="Y120" s="1346"/>
      <c r="Z120" s="1347"/>
      <c r="AA120" s="1354" t="str">
        <f>【様式５】職員数算出表!O31</f>
        <v>-</v>
      </c>
      <c r="AB120" s="1355"/>
      <c r="AC120" s="1355"/>
      <c r="AD120" s="1356"/>
      <c r="AE120" s="707"/>
      <c r="AF120" s="707"/>
      <c r="AG120" s="707"/>
      <c r="AI120" s="312" t="b">
        <f>AA120="○"</f>
        <v>0</v>
      </c>
      <c r="AN120" s="1726"/>
      <c r="AO120" s="1726"/>
      <c r="AP120" s="1726"/>
      <c r="AQ120" s="1726"/>
      <c r="AR120" s="1726"/>
      <c r="AS120" s="1726"/>
    </row>
    <row r="121" spans="1:45" ht="39.950000000000003" customHeight="1">
      <c r="A121" s="1500"/>
      <c r="B121" s="1501"/>
      <c r="C121" s="1501"/>
      <c r="D121" s="1501"/>
      <c r="E121" s="1502"/>
      <c r="F121" s="736">
        <v>2</v>
      </c>
      <c r="G121" s="1346" t="s">
        <v>468</v>
      </c>
      <c r="H121" s="1346"/>
      <c r="I121" s="1346"/>
      <c r="J121" s="1346"/>
      <c r="K121" s="1346"/>
      <c r="L121" s="1346"/>
      <c r="M121" s="1346"/>
      <c r="N121" s="1346"/>
      <c r="O121" s="1346"/>
      <c r="P121" s="1346"/>
      <c r="Q121" s="1346"/>
      <c r="R121" s="1346"/>
      <c r="S121" s="1346"/>
      <c r="T121" s="1346"/>
      <c r="U121" s="1346"/>
      <c r="V121" s="1346"/>
      <c r="W121" s="1346"/>
      <c r="X121" s="1346"/>
      <c r="Y121" s="1346"/>
      <c r="Z121" s="1347"/>
      <c r="AA121" s="1351"/>
      <c r="AB121" s="1352"/>
      <c r="AC121" s="1352"/>
      <c r="AD121" s="1353"/>
      <c r="AE121" s="707"/>
      <c r="AF121" s="707"/>
      <c r="AG121" s="707"/>
      <c r="AI121" s="312" t="b">
        <f>AA121="○"</f>
        <v>0</v>
      </c>
    </row>
    <row r="122" spans="1:45" ht="15" customHeight="1">
      <c r="A122" s="1343" t="s">
        <v>184</v>
      </c>
      <c r="B122" s="1344"/>
      <c r="C122" s="1344"/>
      <c r="D122" s="1344"/>
      <c r="E122" s="1345"/>
      <c r="F122" s="1357"/>
      <c r="G122" s="1358"/>
      <c r="H122" s="1358"/>
      <c r="I122" s="1358"/>
      <c r="J122" s="1358"/>
      <c r="K122" s="1359"/>
      <c r="L122" s="1343" t="str">
        <f>"←　取得上限値は"&amp;IF(OR(【様式５】職員数算出表!$J$34&lt;0,ISERROR(【様式５】職員数算出表!$J$34)),0,【様式５】職員数算出表!$J$34)&amp;"人です"</f>
        <v>←　取得上限値は0人です</v>
      </c>
      <c r="M122" s="1344"/>
      <c r="N122" s="1344"/>
      <c r="O122" s="1344"/>
      <c r="P122" s="1344"/>
      <c r="Q122" s="1344"/>
      <c r="R122" s="1344"/>
      <c r="S122" s="1344"/>
      <c r="T122" s="1344"/>
      <c r="U122" s="1344"/>
      <c r="V122" s="1344"/>
      <c r="W122" s="1344"/>
      <c r="X122" s="1344"/>
      <c r="Y122" s="1344"/>
      <c r="Z122" s="1344"/>
      <c r="AA122" s="1344"/>
      <c r="AB122" s="1344"/>
      <c r="AC122" s="1344"/>
      <c r="AD122" s="1345"/>
      <c r="AE122" s="707"/>
      <c r="AF122" s="707"/>
      <c r="AG122" s="707"/>
      <c r="AI122" s="312">
        <f>IF(OR(F122=0,F122=""),0,IF(F122&gt;【様式５】職員数算出表!J34,"エラー",F122))</f>
        <v>0</v>
      </c>
    </row>
    <row r="123" spans="1:45" ht="15" customHeight="1">
      <c r="A123" s="1310" t="s">
        <v>67</v>
      </c>
      <c r="B123" s="1310"/>
      <c r="C123" s="1310"/>
      <c r="D123" s="1310"/>
      <c r="E123" s="1310"/>
      <c r="F123" s="1348" t="s">
        <v>461</v>
      </c>
      <c r="G123" s="1349"/>
      <c r="H123" s="1349"/>
      <c r="I123" s="1349"/>
      <c r="J123" s="1349"/>
      <c r="K123" s="1349"/>
      <c r="L123" s="1349"/>
      <c r="M123" s="1349"/>
      <c r="N123" s="1349"/>
      <c r="O123" s="1349"/>
      <c r="P123" s="1349"/>
      <c r="Q123" s="1349"/>
      <c r="R123" s="1349"/>
      <c r="S123" s="1349"/>
      <c r="T123" s="1349"/>
      <c r="U123" s="1349"/>
      <c r="V123" s="1349"/>
      <c r="W123" s="1349"/>
      <c r="X123" s="1349"/>
      <c r="Y123" s="1349"/>
      <c r="Z123" s="1349"/>
      <c r="AA123" s="1349"/>
      <c r="AB123" s="1349"/>
      <c r="AC123" s="1349"/>
      <c r="AD123" s="1350"/>
      <c r="AE123" s="707"/>
      <c r="AF123" s="707"/>
      <c r="AG123" s="707"/>
      <c r="AI123" s="938"/>
    </row>
    <row r="124" spans="1:45" ht="15" customHeight="1" thickBot="1">
      <c r="A124" s="668"/>
      <c r="B124" s="668"/>
      <c r="C124" s="668"/>
      <c r="D124" s="668"/>
      <c r="E124" s="668"/>
      <c r="F124" s="668"/>
      <c r="G124" s="668"/>
      <c r="H124" s="668"/>
      <c r="I124" s="668"/>
      <c r="J124" s="668"/>
      <c r="K124" s="668"/>
      <c r="L124" s="668"/>
      <c r="M124" s="668"/>
      <c r="N124" s="668"/>
      <c r="O124" s="668"/>
      <c r="P124" s="668"/>
      <c r="Q124" s="668"/>
      <c r="R124" s="668"/>
      <c r="S124" s="668"/>
      <c r="T124" s="668"/>
      <c r="U124" s="668"/>
      <c r="V124" s="668"/>
      <c r="W124" s="668"/>
      <c r="X124" s="668"/>
      <c r="Y124" s="668"/>
      <c r="Z124" s="668"/>
      <c r="AA124" s="668"/>
      <c r="AB124" s="668"/>
      <c r="AC124" s="668"/>
      <c r="AD124" s="668"/>
      <c r="AE124" s="668"/>
      <c r="AF124" s="668"/>
      <c r="AG124" s="668"/>
      <c r="AH124" s="100"/>
      <c r="AI124" s="80"/>
      <c r="AJ124" s="100"/>
      <c r="AK124" s="100"/>
      <c r="AL124" s="100"/>
      <c r="AM124" s="100"/>
    </row>
    <row r="125" spans="1:45" ht="15" customHeight="1" thickBot="1">
      <c r="A125" s="1301" t="s">
        <v>1125</v>
      </c>
      <c r="B125" s="1301"/>
      <c r="C125" s="1301"/>
      <c r="D125" s="1301"/>
      <c r="E125" s="1301"/>
      <c r="F125" s="1301"/>
      <c r="G125" s="1301"/>
      <c r="H125" s="1301"/>
      <c r="I125" s="1301"/>
      <c r="J125" s="1311" t="str">
        <f>IF(AI126,AA128,"×")</f>
        <v>×</v>
      </c>
      <c r="K125" s="1312"/>
      <c r="L125" s="1312"/>
      <c r="M125" s="1312"/>
      <c r="N125" s="1313"/>
      <c r="O125" s="1427" t="s">
        <v>167</v>
      </c>
      <c r="P125" s="1277"/>
      <c r="Q125" s="1277"/>
      <c r="R125" s="715"/>
      <c r="S125" s="715"/>
      <c r="T125" s="715"/>
      <c r="U125" s="715"/>
      <c r="V125" s="715"/>
      <c r="W125" s="715"/>
      <c r="X125" s="715"/>
      <c r="Y125" s="715"/>
      <c r="Z125" s="715"/>
      <c r="AA125" s="715"/>
      <c r="AB125" s="715"/>
      <c r="AC125" s="715"/>
      <c r="AD125" s="715"/>
      <c r="AE125" s="715"/>
      <c r="AF125" s="715"/>
      <c r="AG125" s="707"/>
      <c r="AI125" s="938"/>
    </row>
    <row r="126" spans="1:45" ht="15" customHeight="1">
      <c r="A126" s="1310" t="s">
        <v>168</v>
      </c>
      <c r="B126" s="1310"/>
      <c r="C126" s="1310"/>
      <c r="D126" s="1310"/>
      <c r="E126" s="1310"/>
      <c r="F126" s="1338"/>
      <c r="G126" s="1338"/>
      <c r="H126" s="1338"/>
      <c r="I126" s="1338"/>
      <c r="J126" s="1339"/>
      <c r="K126" s="1339"/>
      <c r="L126" s="707"/>
      <c r="M126" s="707"/>
      <c r="N126" s="707"/>
      <c r="O126" s="707"/>
      <c r="P126" s="707"/>
      <c r="Q126" s="707"/>
      <c r="R126" s="707"/>
      <c r="S126" s="707"/>
      <c r="T126" s="707"/>
      <c r="U126" s="707"/>
      <c r="V126" s="707"/>
      <c r="W126" s="707"/>
      <c r="X126" s="707"/>
      <c r="Y126" s="707"/>
      <c r="Z126" s="707"/>
      <c r="AA126" s="707"/>
      <c r="AB126" s="707"/>
      <c r="AC126" s="707"/>
      <c r="AD126" s="707"/>
      <c r="AE126" s="707"/>
      <c r="AF126" s="707"/>
      <c r="AG126" s="707"/>
      <c r="AI126" s="312" t="b">
        <f>F126="申請する"</f>
        <v>0</v>
      </c>
    </row>
    <row r="127" spans="1:45" ht="15" customHeight="1">
      <c r="A127" s="1361" t="s">
        <v>175</v>
      </c>
      <c r="B127" s="1362"/>
      <c r="C127" s="1362"/>
      <c r="D127" s="1362"/>
      <c r="E127" s="1362"/>
      <c r="F127" s="1296" t="s">
        <v>169</v>
      </c>
      <c r="G127" s="1310"/>
      <c r="H127" s="1310"/>
      <c r="I127" s="1310"/>
      <c r="J127" s="1310"/>
      <c r="K127" s="1310"/>
      <c r="L127" s="1310"/>
      <c r="M127" s="1310"/>
      <c r="N127" s="1310"/>
      <c r="O127" s="1310"/>
      <c r="P127" s="1310"/>
      <c r="Q127" s="1310"/>
      <c r="R127" s="1310"/>
      <c r="S127" s="1310"/>
      <c r="T127" s="1310"/>
      <c r="U127" s="1310"/>
      <c r="V127" s="1310"/>
      <c r="W127" s="1310"/>
      <c r="X127" s="1310"/>
      <c r="Y127" s="1310"/>
      <c r="Z127" s="1310"/>
      <c r="AA127" s="1310" t="s">
        <v>170</v>
      </c>
      <c r="AB127" s="1310"/>
      <c r="AC127" s="1310"/>
      <c r="AD127" s="1310"/>
      <c r="AE127" s="707"/>
      <c r="AF127" s="707"/>
      <c r="AG127" s="707"/>
      <c r="AI127" s="938"/>
    </row>
    <row r="128" spans="1:45" ht="15" customHeight="1">
      <c r="A128" s="1497"/>
      <c r="B128" s="1498"/>
      <c r="C128" s="1498"/>
      <c r="D128" s="1498"/>
      <c r="E128" s="1499"/>
      <c r="F128" s="1360" t="s">
        <v>469</v>
      </c>
      <c r="G128" s="1360"/>
      <c r="H128" s="1360"/>
      <c r="I128" s="1360"/>
      <c r="J128" s="1360"/>
      <c r="K128" s="1360"/>
      <c r="L128" s="1360"/>
      <c r="M128" s="1360"/>
      <c r="N128" s="1360"/>
      <c r="O128" s="1360"/>
      <c r="P128" s="1360"/>
      <c r="Q128" s="1360"/>
      <c r="R128" s="1360"/>
      <c r="S128" s="1360"/>
      <c r="T128" s="1360"/>
      <c r="U128" s="1360"/>
      <c r="V128" s="1360"/>
      <c r="W128" s="1360"/>
      <c r="X128" s="1360"/>
      <c r="Y128" s="1360"/>
      <c r="Z128" s="1360"/>
      <c r="AA128" s="1354" t="str">
        <f>IFERROR(VLOOKUP($I$10,'(別紙４)通園'!$B$14:$G$25,4,FALSE),"×")</f>
        <v>×</v>
      </c>
      <c r="AB128" s="1355"/>
      <c r="AC128" s="1355"/>
      <c r="AD128" s="1356"/>
      <c r="AE128" s="707"/>
      <c r="AF128" s="707"/>
      <c r="AG128" s="707"/>
      <c r="AI128" s="185"/>
    </row>
    <row r="129" spans="1:39" ht="15" customHeight="1">
      <c r="A129" s="1294" t="s">
        <v>67</v>
      </c>
      <c r="B129" s="1295"/>
      <c r="C129" s="1295"/>
      <c r="D129" s="1295"/>
      <c r="E129" s="1296"/>
      <c r="F129" s="1348" t="s">
        <v>937</v>
      </c>
      <c r="G129" s="1349"/>
      <c r="H129" s="1349"/>
      <c r="I129" s="1349"/>
      <c r="J129" s="1349"/>
      <c r="K129" s="1349"/>
      <c r="L129" s="1349"/>
      <c r="M129" s="1349"/>
      <c r="N129" s="1349"/>
      <c r="O129" s="1349"/>
      <c r="P129" s="1349"/>
      <c r="Q129" s="1349"/>
      <c r="R129" s="1349"/>
      <c r="S129" s="1349"/>
      <c r="T129" s="1349"/>
      <c r="U129" s="1349"/>
      <c r="V129" s="1349"/>
      <c r="W129" s="1349"/>
      <c r="X129" s="1349"/>
      <c r="Y129" s="1349"/>
      <c r="Z129" s="1349"/>
      <c r="AA129" s="1349" t="s">
        <v>69</v>
      </c>
      <c r="AB129" s="1349"/>
      <c r="AC129" s="1349"/>
      <c r="AD129" s="1350"/>
      <c r="AE129" s="707"/>
      <c r="AF129" s="707"/>
      <c r="AG129" s="707"/>
      <c r="AI129" s="185"/>
    </row>
    <row r="130" spans="1:39" s="100" customFormat="1" ht="15" customHeight="1">
      <c r="A130" s="707" t="s">
        <v>70</v>
      </c>
      <c r="B130" s="707"/>
      <c r="C130" s="707"/>
      <c r="D130" s="707"/>
      <c r="E130" s="707"/>
      <c r="F130" s="707"/>
      <c r="G130" s="707"/>
      <c r="H130" s="707"/>
      <c r="I130" s="707"/>
      <c r="J130" s="707"/>
      <c r="K130" s="707"/>
      <c r="L130" s="707"/>
      <c r="M130" s="707"/>
      <c r="N130" s="707"/>
      <c r="O130" s="707"/>
      <c r="P130" s="707"/>
      <c r="Q130" s="707"/>
      <c r="R130" s="707"/>
      <c r="S130" s="707"/>
      <c r="T130" s="707"/>
      <c r="U130" s="707"/>
      <c r="V130" s="707"/>
      <c r="W130" s="707"/>
      <c r="X130" s="707"/>
      <c r="Y130" s="707"/>
      <c r="Z130" s="707"/>
      <c r="AA130" s="707"/>
      <c r="AB130" s="707"/>
      <c r="AC130" s="707"/>
      <c r="AD130" s="707"/>
      <c r="AE130" s="707"/>
      <c r="AF130" s="707"/>
      <c r="AG130" s="707"/>
      <c r="AH130" s="87"/>
      <c r="AI130" s="938"/>
      <c r="AJ130" s="87"/>
      <c r="AK130" s="87"/>
      <c r="AL130" s="87"/>
      <c r="AM130" s="87"/>
    </row>
    <row r="131" spans="1:39" ht="15" customHeight="1" thickBot="1">
      <c r="A131" s="707"/>
      <c r="B131" s="707"/>
      <c r="C131" s="707"/>
      <c r="D131" s="707"/>
      <c r="E131" s="707"/>
      <c r="F131" s="707"/>
      <c r="G131" s="707"/>
      <c r="H131" s="707"/>
      <c r="I131" s="707"/>
      <c r="J131" s="707"/>
      <c r="K131" s="707"/>
      <c r="L131" s="707"/>
      <c r="M131" s="707"/>
      <c r="N131" s="707"/>
      <c r="O131" s="707"/>
      <c r="P131" s="707"/>
      <c r="Q131" s="707"/>
      <c r="R131" s="707"/>
      <c r="S131" s="707"/>
      <c r="T131" s="707"/>
      <c r="U131" s="707"/>
      <c r="V131" s="707"/>
      <c r="W131" s="707"/>
      <c r="X131" s="707"/>
      <c r="Y131" s="707"/>
      <c r="Z131" s="707"/>
      <c r="AA131" s="707"/>
      <c r="AB131" s="707"/>
      <c r="AC131" s="707"/>
      <c r="AD131" s="707"/>
      <c r="AE131" s="707"/>
      <c r="AF131" s="707"/>
      <c r="AG131" s="707"/>
      <c r="AI131" s="938"/>
    </row>
    <row r="132" spans="1:39" ht="15" customHeight="1" thickBot="1">
      <c r="A132" s="1301" t="s">
        <v>1126</v>
      </c>
      <c r="B132" s="1301"/>
      <c r="C132" s="1301"/>
      <c r="D132" s="1301"/>
      <c r="E132" s="1301"/>
      <c r="F132" s="1301"/>
      <c r="G132" s="1301"/>
      <c r="H132" s="1301"/>
      <c r="I132" s="1301"/>
      <c r="J132" s="1311" t="str">
        <f>IFERROR(IF(AND(AI133,AI135,AI136,AI145),AA136&amp;"-"&amp;AA145&amp;"日 ","×"),"エラー")</f>
        <v>×</v>
      </c>
      <c r="K132" s="1312"/>
      <c r="L132" s="1312"/>
      <c r="M132" s="1312"/>
      <c r="N132" s="1313"/>
      <c r="O132" s="1427" t="s">
        <v>167</v>
      </c>
      <c r="P132" s="1277"/>
      <c r="Q132" s="1277"/>
      <c r="R132" s="707"/>
      <c r="S132" s="707"/>
      <c r="T132" s="707"/>
      <c r="U132" s="707"/>
      <c r="V132" s="715"/>
      <c r="W132" s="715"/>
      <c r="X132" s="715"/>
      <c r="Y132" s="715"/>
      <c r="Z132" s="715"/>
      <c r="AA132" s="715"/>
      <c r="AB132" s="715"/>
      <c r="AC132" s="715"/>
      <c r="AD132" s="715"/>
      <c r="AE132" s="715"/>
      <c r="AF132" s="707"/>
      <c r="AG132" s="707"/>
      <c r="AH132" s="99"/>
      <c r="AI132" s="81"/>
      <c r="AJ132" s="99"/>
      <c r="AK132" s="99"/>
      <c r="AL132" s="99"/>
      <c r="AM132" s="99"/>
    </row>
    <row r="133" spans="1:39" ht="15" customHeight="1">
      <c r="A133" s="1310" t="s">
        <v>168</v>
      </c>
      <c r="B133" s="1310"/>
      <c r="C133" s="1310"/>
      <c r="D133" s="1310"/>
      <c r="E133" s="1310"/>
      <c r="F133" s="1338"/>
      <c r="G133" s="1338"/>
      <c r="H133" s="1338"/>
      <c r="I133" s="1338"/>
      <c r="J133" s="1339"/>
      <c r="K133" s="1339"/>
      <c r="L133" s="707"/>
      <c r="M133" s="707"/>
      <c r="N133" s="707"/>
      <c r="O133" s="707"/>
      <c r="P133" s="707"/>
      <c r="Q133" s="707"/>
      <c r="R133" s="707"/>
      <c r="S133" s="707"/>
      <c r="T133" s="707"/>
      <c r="U133" s="707"/>
      <c r="V133" s="707"/>
      <c r="W133" s="707"/>
      <c r="X133" s="707"/>
      <c r="Y133" s="707"/>
      <c r="Z133" s="707"/>
      <c r="AA133" s="707"/>
      <c r="AB133" s="707"/>
      <c r="AC133" s="707"/>
      <c r="AD133" s="707"/>
      <c r="AE133" s="707"/>
      <c r="AF133" s="707"/>
      <c r="AG133" s="707"/>
      <c r="AI133" s="312" t="b">
        <f>F133="申請する"</f>
        <v>0</v>
      </c>
      <c r="AJ133" s="99"/>
      <c r="AK133" s="99"/>
      <c r="AL133" s="99"/>
      <c r="AM133" s="99"/>
    </row>
    <row r="134" spans="1:39" ht="15" customHeight="1">
      <c r="A134" s="1416" t="s">
        <v>436</v>
      </c>
      <c r="B134" s="1417"/>
      <c r="C134" s="1417"/>
      <c r="D134" s="1417"/>
      <c r="E134" s="1590"/>
      <c r="F134" s="1295" t="s">
        <v>131</v>
      </c>
      <c r="G134" s="1295"/>
      <c r="H134" s="1295"/>
      <c r="I134" s="1295"/>
      <c r="J134" s="1295"/>
      <c r="K134" s="1295"/>
      <c r="L134" s="1295"/>
      <c r="M134" s="1295"/>
      <c r="N134" s="1295"/>
      <c r="O134" s="1295"/>
      <c r="P134" s="1295"/>
      <c r="Q134" s="1295"/>
      <c r="R134" s="1295"/>
      <c r="S134" s="1295"/>
      <c r="T134" s="1295"/>
      <c r="U134" s="1295"/>
      <c r="V134" s="1295"/>
      <c r="W134" s="1295"/>
      <c r="X134" s="1295"/>
      <c r="Y134" s="1295"/>
      <c r="Z134" s="1296"/>
      <c r="AA134" s="1294" t="s">
        <v>170</v>
      </c>
      <c r="AB134" s="1295"/>
      <c r="AC134" s="1295"/>
      <c r="AD134" s="1296"/>
      <c r="AE134" s="707"/>
      <c r="AF134" s="707"/>
      <c r="AG134" s="707"/>
      <c r="AI134" s="185"/>
      <c r="AJ134" s="99"/>
      <c r="AK134" s="99"/>
      <c r="AL134" s="99"/>
      <c r="AM134" s="99"/>
    </row>
    <row r="135" spans="1:39" ht="15" customHeight="1">
      <c r="A135" s="1418"/>
      <c r="B135" s="1419"/>
      <c r="C135" s="1419"/>
      <c r="D135" s="1419"/>
      <c r="E135" s="1591"/>
      <c r="F135" s="736">
        <v>1</v>
      </c>
      <c r="G135" s="1727" t="s">
        <v>427</v>
      </c>
      <c r="H135" s="1727"/>
      <c r="I135" s="1727"/>
      <c r="J135" s="1727"/>
      <c r="K135" s="1727"/>
      <c r="L135" s="1727"/>
      <c r="M135" s="1727"/>
      <c r="N135" s="1727"/>
      <c r="O135" s="1727"/>
      <c r="P135" s="1727"/>
      <c r="Q135" s="1727"/>
      <c r="R135" s="1727"/>
      <c r="S135" s="1727"/>
      <c r="T135" s="1727"/>
      <c r="U135" s="1727"/>
      <c r="V135" s="1727"/>
      <c r="W135" s="1727"/>
      <c r="X135" s="1727"/>
      <c r="Y135" s="1727"/>
      <c r="Z135" s="1728"/>
      <c r="AA135" s="1273" t="str">
        <f>IF(HLOOKUP($I$10,$G$151:$AD$152,2,FALSE)&gt;0,"○","×")</f>
        <v>×</v>
      </c>
      <c r="AB135" s="1274"/>
      <c r="AC135" s="1274"/>
      <c r="AD135" s="1275"/>
      <c r="AE135" s="707"/>
      <c r="AF135" s="707"/>
      <c r="AG135" s="707"/>
      <c r="AI135" s="312" t="b">
        <f>AA135="○"</f>
        <v>0</v>
      </c>
      <c r="AJ135" s="99"/>
      <c r="AK135" s="99"/>
      <c r="AL135" s="99"/>
      <c r="AM135" s="99"/>
    </row>
    <row r="136" spans="1:39" ht="15" customHeight="1">
      <c r="A136" s="1418"/>
      <c r="B136" s="1419"/>
      <c r="C136" s="1419"/>
      <c r="D136" s="1419"/>
      <c r="E136" s="1591"/>
      <c r="F136" s="953">
        <v>2</v>
      </c>
      <c r="G136" s="1727" t="s">
        <v>439</v>
      </c>
      <c r="H136" s="1727"/>
      <c r="I136" s="1727"/>
      <c r="J136" s="1727"/>
      <c r="K136" s="1727"/>
      <c r="L136" s="1727"/>
      <c r="M136" s="1727"/>
      <c r="N136" s="1727"/>
      <c r="O136" s="1727"/>
      <c r="P136" s="1727"/>
      <c r="Q136" s="1727"/>
      <c r="R136" s="1727"/>
      <c r="S136" s="1727"/>
      <c r="T136" s="1727"/>
      <c r="U136" s="1727"/>
      <c r="V136" s="1727"/>
      <c r="W136" s="1727"/>
      <c r="X136" s="1727"/>
      <c r="Y136" s="1727"/>
      <c r="Z136" s="1728"/>
      <c r="AA136" s="1279" t="str">
        <f>IF(AI137,"調理",IF(AI144,"搬入","×"))</f>
        <v>×</v>
      </c>
      <c r="AB136" s="1280"/>
      <c r="AC136" s="1280"/>
      <c r="AD136" s="1281"/>
      <c r="AE136" s="707"/>
      <c r="AF136" s="707"/>
      <c r="AG136" s="707"/>
      <c r="AI136" s="312" t="b">
        <f>AA136&lt;&gt;"×"</f>
        <v>0</v>
      </c>
      <c r="AJ136" s="99"/>
      <c r="AK136" s="99"/>
      <c r="AL136" s="99"/>
      <c r="AM136" s="99"/>
    </row>
    <row r="137" spans="1:39" s="100" customFormat="1" ht="24.95" customHeight="1">
      <c r="A137" s="1418"/>
      <c r="B137" s="1419"/>
      <c r="C137" s="1419"/>
      <c r="D137" s="1419"/>
      <c r="E137" s="1591"/>
      <c r="F137" s="1653" t="s">
        <v>428</v>
      </c>
      <c r="G137" s="1737"/>
      <c r="H137" s="1753" t="s">
        <v>518</v>
      </c>
      <c r="I137" s="1754"/>
      <c r="J137" s="1754"/>
      <c r="K137" s="1754"/>
      <c r="L137" s="1754"/>
      <c r="M137" s="1754"/>
      <c r="N137" s="1754"/>
      <c r="O137" s="1754"/>
      <c r="P137" s="1754"/>
      <c r="Q137" s="1754"/>
      <c r="R137" s="1754"/>
      <c r="S137" s="1754"/>
      <c r="T137" s="1754"/>
      <c r="U137" s="1754"/>
      <c r="V137" s="1754"/>
      <c r="W137" s="1754"/>
      <c r="X137" s="1754"/>
      <c r="Y137" s="1754"/>
      <c r="Z137" s="1755"/>
      <c r="AA137" s="1679" t="str">
        <f>IF(AND(AI138,AI139,AI142,AI143),"○","×")</f>
        <v>×</v>
      </c>
      <c r="AB137" s="1680"/>
      <c r="AC137" s="1680"/>
      <c r="AD137" s="1710"/>
      <c r="AE137" s="668"/>
      <c r="AF137" s="668"/>
      <c r="AG137" s="668"/>
      <c r="AI137" s="312" t="b">
        <f>AA137="○"</f>
        <v>0</v>
      </c>
    </row>
    <row r="138" spans="1:39" s="100" customFormat="1" ht="15" customHeight="1">
      <c r="A138" s="1418"/>
      <c r="B138" s="1419"/>
      <c r="C138" s="1419"/>
      <c r="D138" s="1419"/>
      <c r="E138" s="1591"/>
      <c r="F138" s="1418"/>
      <c r="G138" s="1419"/>
      <c r="H138" s="739" t="s">
        <v>430</v>
      </c>
      <c r="I138" s="1729" t="s">
        <v>522</v>
      </c>
      <c r="J138" s="1729"/>
      <c r="K138" s="1729"/>
      <c r="L138" s="1729"/>
      <c r="M138" s="1729"/>
      <c r="N138" s="1729"/>
      <c r="O138" s="1729"/>
      <c r="P138" s="1729"/>
      <c r="Q138" s="1729"/>
      <c r="R138" s="1729"/>
      <c r="S138" s="1729"/>
      <c r="T138" s="1729"/>
      <c r="U138" s="1729"/>
      <c r="V138" s="1729"/>
      <c r="W138" s="1729"/>
      <c r="X138" s="1729"/>
      <c r="Y138" s="1729"/>
      <c r="Z138" s="1730"/>
      <c r="AA138" s="1407"/>
      <c r="AB138" s="1756"/>
      <c r="AC138" s="1756"/>
      <c r="AD138" s="1757"/>
      <c r="AE138" s="668"/>
      <c r="AF138" s="668"/>
      <c r="AG138" s="668"/>
      <c r="AI138" s="312" t="b">
        <f>AA138="○"</f>
        <v>0</v>
      </c>
    </row>
    <row r="139" spans="1:39" s="100" customFormat="1" ht="24.95" customHeight="1">
      <c r="A139" s="1418"/>
      <c r="B139" s="1419"/>
      <c r="C139" s="1419"/>
      <c r="D139" s="1419"/>
      <c r="E139" s="1591"/>
      <c r="F139" s="1418"/>
      <c r="G139" s="1419"/>
      <c r="H139" s="740" t="s">
        <v>431</v>
      </c>
      <c r="I139" s="1647" t="s">
        <v>1009</v>
      </c>
      <c r="J139" s="1647"/>
      <c r="K139" s="1647"/>
      <c r="L139" s="1647"/>
      <c r="M139" s="1647"/>
      <c r="N139" s="1647"/>
      <c r="O139" s="1647"/>
      <c r="P139" s="1647"/>
      <c r="Q139" s="1647"/>
      <c r="R139" s="1647"/>
      <c r="S139" s="1647"/>
      <c r="T139" s="1647"/>
      <c r="U139" s="1647"/>
      <c r="V139" s="1647"/>
      <c r="W139" s="1647"/>
      <c r="X139" s="1647"/>
      <c r="Y139" s="1647"/>
      <c r="Z139" s="1648"/>
      <c r="AA139" s="1276" t="str">
        <f>IF(AI138,IF(OR(AI140,AI141),"○","×"),"")</f>
        <v/>
      </c>
      <c r="AB139" s="1277"/>
      <c r="AC139" s="1277"/>
      <c r="AD139" s="1278"/>
      <c r="AE139" s="737"/>
      <c r="AF139" s="668"/>
      <c r="AG139" s="668"/>
      <c r="AI139" s="312" t="b">
        <f>AA139="○"</f>
        <v>0</v>
      </c>
    </row>
    <row r="140" spans="1:39" s="100" customFormat="1" ht="24.95" customHeight="1">
      <c r="A140" s="1418"/>
      <c r="B140" s="1419"/>
      <c r="C140" s="1419"/>
      <c r="D140" s="1419"/>
      <c r="E140" s="1591"/>
      <c r="F140" s="1418"/>
      <c r="G140" s="1419"/>
      <c r="H140" s="1649" t="s">
        <v>437</v>
      </c>
      <c r="I140" s="1419"/>
      <c r="J140" s="1647" t="s">
        <v>730</v>
      </c>
      <c r="K140" s="1647"/>
      <c r="L140" s="1647"/>
      <c r="M140" s="1647"/>
      <c r="N140" s="1647"/>
      <c r="O140" s="1647"/>
      <c r="P140" s="1647"/>
      <c r="Q140" s="1647"/>
      <c r="R140" s="1647"/>
      <c r="S140" s="1647"/>
      <c r="T140" s="1647"/>
      <c r="U140" s="1647"/>
      <c r="V140" s="1647"/>
      <c r="W140" s="1647"/>
      <c r="X140" s="1647"/>
      <c r="Y140" s="1647"/>
      <c r="Z140" s="1648"/>
      <c r="AA140" s="1748"/>
      <c r="AB140" s="1749"/>
      <c r="AC140" s="1749"/>
      <c r="AD140" s="1750"/>
      <c r="AE140" s="737"/>
      <c r="AF140" s="668"/>
      <c r="AG140" s="668"/>
      <c r="AI140" s="312" t="b">
        <f>AA140="○"</f>
        <v>0</v>
      </c>
    </row>
    <row r="141" spans="1:39" s="100" customFormat="1" ht="39.950000000000003" customHeight="1">
      <c r="A141" s="1418"/>
      <c r="B141" s="1419"/>
      <c r="C141" s="1419"/>
      <c r="D141" s="1419"/>
      <c r="E141" s="1591"/>
      <c r="F141" s="1418"/>
      <c r="G141" s="1419"/>
      <c r="H141" s="1649" t="s">
        <v>516</v>
      </c>
      <c r="I141" s="1419"/>
      <c r="J141" s="1647" t="s">
        <v>517</v>
      </c>
      <c r="K141" s="1647"/>
      <c r="L141" s="1647"/>
      <c r="M141" s="1647"/>
      <c r="N141" s="1647"/>
      <c r="O141" s="1647"/>
      <c r="P141" s="1647"/>
      <c r="Q141" s="1647"/>
      <c r="R141" s="1647"/>
      <c r="S141" s="1647"/>
      <c r="T141" s="1647"/>
      <c r="U141" s="1647"/>
      <c r="V141" s="1647"/>
      <c r="W141" s="1647"/>
      <c r="X141" s="1647"/>
      <c r="Y141" s="1647"/>
      <c r="Z141" s="1648"/>
      <c r="AA141" s="1748"/>
      <c r="AB141" s="1749"/>
      <c r="AC141" s="1749"/>
      <c r="AD141" s="1750"/>
      <c r="AE141" s="668"/>
      <c r="AF141" s="668"/>
      <c r="AG141" s="668"/>
      <c r="AI141" s="312" t="b">
        <f t="shared" ref="AI141:AI144" si="6">AA141="○"</f>
        <v>0</v>
      </c>
    </row>
    <row r="142" spans="1:39" s="100" customFormat="1" ht="24.95" customHeight="1">
      <c r="A142" s="1418"/>
      <c r="B142" s="1419"/>
      <c r="C142" s="1419"/>
      <c r="D142" s="1419"/>
      <c r="E142" s="1591"/>
      <c r="F142" s="1418"/>
      <c r="G142" s="1419"/>
      <c r="H142" s="1649" t="s">
        <v>731</v>
      </c>
      <c r="I142" s="1419"/>
      <c r="J142" s="1647" t="s">
        <v>732</v>
      </c>
      <c r="K142" s="1647"/>
      <c r="L142" s="1647"/>
      <c r="M142" s="1647"/>
      <c r="N142" s="1647"/>
      <c r="O142" s="1647"/>
      <c r="P142" s="1647"/>
      <c r="Q142" s="1647"/>
      <c r="R142" s="1647"/>
      <c r="S142" s="1647"/>
      <c r="T142" s="1647"/>
      <c r="U142" s="1647"/>
      <c r="V142" s="1647"/>
      <c r="W142" s="1647"/>
      <c r="X142" s="1647"/>
      <c r="Y142" s="1647"/>
      <c r="Z142" s="1648"/>
      <c r="AA142" s="1745" t="str">
        <f>【様式５】職員数算出表!O38</f>
        <v>-</v>
      </c>
      <c r="AB142" s="1746"/>
      <c r="AC142" s="1746"/>
      <c r="AD142" s="1747"/>
      <c r="AE142" s="738"/>
      <c r="AF142" s="668"/>
      <c r="AG142" s="668"/>
      <c r="AI142" s="312" t="b">
        <f>AA142="○"</f>
        <v>0</v>
      </c>
    </row>
    <row r="143" spans="1:39" s="100" customFormat="1" ht="24.95" customHeight="1">
      <c r="A143" s="1418"/>
      <c r="B143" s="1419"/>
      <c r="C143" s="1419"/>
      <c r="D143" s="1419"/>
      <c r="E143" s="1591"/>
      <c r="F143" s="1654"/>
      <c r="G143" s="1738"/>
      <c r="H143" s="741" t="s">
        <v>432</v>
      </c>
      <c r="I143" s="1751" t="s">
        <v>523</v>
      </c>
      <c r="J143" s="1751"/>
      <c r="K143" s="1751"/>
      <c r="L143" s="1751"/>
      <c r="M143" s="1751"/>
      <c r="N143" s="1751"/>
      <c r="O143" s="1751"/>
      <c r="P143" s="1751"/>
      <c r="Q143" s="1751"/>
      <c r="R143" s="1751"/>
      <c r="S143" s="1751"/>
      <c r="T143" s="1751"/>
      <c r="U143" s="1751"/>
      <c r="V143" s="1751"/>
      <c r="W143" s="1751"/>
      <c r="X143" s="1751"/>
      <c r="Y143" s="1751"/>
      <c r="Z143" s="1752"/>
      <c r="AA143" s="1367"/>
      <c r="AB143" s="1368"/>
      <c r="AC143" s="1368"/>
      <c r="AD143" s="1369"/>
      <c r="AE143" s="737"/>
      <c r="AF143" s="668"/>
      <c r="AG143" s="668"/>
      <c r="AI143" s="312" t="b">
        <f t="shared" si="6"/>
        <v>0</v>
      </c>
    </row>
    <row r="144" spans="1:39" s="100" customFormat="1" ht="39.950000000000003" customHeight="1">
      <c r="A144" s="1418"/>
      <c r="B144" s="1419"/>
      <c r="C144" s="1419"/>
      <c r="D144" s="1419"/>
      <c r="E144" s="1591"/>
      <c r="F144" s="1384" t="s">
        <v>429</v>
      </c>
      <c r="G144" s="1384"/>
      <c r="H144" s="1741" t="s">
        <v>519</v>
      </c>
      <c r="I144" s="1741"/>
      <c r="J144" s="1741"/>
      <c r="K144" s="1741"/>
      <c r="L144" s="1741"/>
      <c r="M144" s="1741"/>
      <c r="N144" s="1741"/>
      <c r="O144" s="1741"/>
      <c r="P144" s="1741"/>
      <c r="Q144" s="1741"/>
      <c r="R144" s="1741"/>
      <c r="S144" s="1741"/>
      <c r="T144" s="1741"/>
      <c r="U144" s="1741"/>
      <c r="V144" s="1741"/>
      <c r="W144" s="1741"/>
      <c r="X144" s="1741"/>
      <c r="Y144" s="1741"/>
      <c r="Z144" s="1742"/>
      <c r="AA144" s="1285"/>
      <c r="AB144" s="1286"/>
      <c r="AC144" s="1286"/>
      <c r="AD144" s="1287"/>
      <c r="AE144" s="668"/>
      <c r="AF144" s="668"/>
      <c r="AG144" s="668"/>
      <c r="AI144" s="312" t="b">
        <f t="shared" si="6"/>
        <v>0</v>
      </c>
    </row>
    <row r="145" spans="1:58" s="100" customFormat="1" ht="24.95" customHeight="1">
      <c r="A145" s="1418"/>
      <c r="B145" s="1419"/>
      <c r="C145" s="1419"/>
      <c r="D145" s="1419"/>
      <c r="E145" s="1591"/>
      <c r="F145" s="953">
        <v>3</v>
      </c>
      <c r="G145" s="1382" t="s">
        <v>435</v>
      </c>
      <c r="H145" s="1382"/>
      <c r="I145" s="1382"/>
      <c r="J145" s="1382"/>
      <c r="K145" s="1382"/>
      <c r="L145" s="1382"/>
      <c r="M145" s="1382"/>
      <c r="N145" s="1382"/>
      <c r="O145" s="1382"/>
      <c r="P145" s="1382"/>
      <c r="Q145" s="1382"/>
      <c r="R145" s="1382"/>
      <c r="S145" s="1382"/>
      <c r="T145" s="1382"/>
      <c r="U145" s="1382"/>
      <c r="V145" s="1382"/>
      <c r="W145" s="1382"/>
      <c r="X145" s="1382"/>
      <c r="Y145" s="1382"/>
      <c r="Z145" s="1383"/>
      <c r="AA145" s="1374">
        <f>IF(ISERROR(ROUND(AA153/4,0)),0,ROUND(AA153/4,0))</f>
        <v>0</v>
      </c>
      <c r="AB145" s="1375"/>
      <c r="AC145" s="1375"/>
      <c r="AD145" s="1376"/>
      <c r="AE145" s="668"/>
      <c r="AF145" s="668"/>
      <c r="AG145" s="668"/>
      <c r="AI145" s="312" t="b">
        <f>AA145&gt;0</f>
        <v>0</v>
      </c>
    </row>
    <row r="146" spans="1:58" s="100" customFormat="1" ht="15" customHeight="1">
      <c r="A146" s="1418"/>
      <c r="B146" s="1419"/>
      <c r="C146" s="1419"/>
      <c r="D146" s="1419"/>
      <c r="E146" s="1591"/>
      <c r="F146" s="1653" t="s">
        <v>25</v>
      </c>
      <c r="G146" s="1384" t="s">
        <v>561</v>
      </c>
      <c r="H146" s="1384"/>
      <c r="I146" s="1384"/>
      <c r="J146" s="1384"/>
      <c r="K146" s="1384"/>
      <c r="L146" s="1384"/>
      <c r="M146" s="1384"/>
      <c r="N146" s="1384"/>
      <c r="O146" s="1384"/>
      <c r="P146" s="1384"/>
      <c r="Q146" s="1384"/>
      <c r="R146" s="1384"/>
      <c r="S146" s="1384"/>
      <c r="T146" s="1384"/>
      <c r="U146" s="1384"/>
      <c r="V146" s="1384"/>
      <c r="W146" s="1384"/>
      <c r="X146" s="1384"/>
      <c r="Y146" s="1384"/>
      <c r="Z146" s="1384"/>
      <c r="AA146" s="1379">
        <f>IF(SUM(G149:AD149)='(別紙5)給食・副食'!$F$8,SUM(G148:AD148),"別紙と不一致")</f>
        <v>0</v>
      </c>
      <c r="AB146" s="1379"/>
      <c r="AC146" s="1379"/>
      <c r="AD146" s="1380"/>
      <c r="AE146" s="668"/>
      <c r="AF146" s="668"/>
      <c r="AG146" s="668"/>
      <c r="AI146" s="185"/>
      <c r="AJ146" s="104"/>
      <c r="AK146" s="104"/>
      <c r="AL146" s="104"/>
      <c r="AM146" s="138"/>
      <c r="AN146" s="138"/>
      <c r="AO146" s="138"/>
      <c r="AP146" s="138"/>
      <c r="AQ146" s="104"/>
      <c r="AR146" s="104"/>
      <c r="AS146" s="104"/>
    </row>
    <row r="147" spans="1:58" s="100" customFormat="1" ht="15" customHeight="1">
      <c r="A147" s="1418"/>
      <c r="B147" s="1419"/>
      <c r="C147" s="1419"/>
      <c r="D147" s="1419"/>
      <c r="E147" s="1591"/>
      <c r="F147" s="1418"/>
      <c r="G147" s="1646">
        <v>4</v>
      </c>
      <c r="H147" s="1337"/>
      <c r="I147" s="1337">
        <v>5</v>
      </c>
      <c r="J147" s="1337"/>
      <c r="K147" s="1337">
        <v>6</v>
      </c>
      <c r="L147" s="1337"/>
      <c r="M147" s="1337">
        <v>7</v>
      </c>
      <c r="N147" s="1337"/>
      <c r="O147" s="1337">
        <v>8</v>
      </c>
      <c r="P147" s="1337"/>
      <c r="Q147" s="1337">
        <v>9</v>
      </c>
      <c r="R147" s="1337"/>
      <c r="S147" s="1337">
        <v>10</v>
      </c>
      <c r="T147" s="1337"/>
      <c r="U147" s="1337">
        <v>11</v>
      </c>
      <c r="V147" s="1337"/>
      <c r="W147" s="1337">
        <v>12</v>
      </c>
      <c r="X147" s="1337"/>
      <c r="Y147" s="1337">
        <v>1</v>
      </c>
      <c r="Z147" s="1337"/>
      <c r="AA147" s="1337">
        <v>2</v>
      </c>
      <c r="AB147" s="1337"/>
      <c r="AC147" s="1337">
        <v>3</v>
      </c>
      <c r="AD147" s="1381"/>
      <c r="AE147" s="668"/>
      <c r="AF147" s="668"/>
      <c r="AG147" s="668"/>
      <c r="AI147" s="186"/>
      <c r="AJ147" s="104"/>
      <c r="AK147" s="104"/>
      <c r="AL147" s="104"/>
      <c r="AM147" s="138"/>
      <c r="AN147" s="138"/>
      <c r="AO147" s="138"/>
      <c r="AP147" s="138"/>
      <c r="AQ147" s="104"/>
      <c r="AR147" s="104"/>
      <c r="AS147" s="104"/>
    </row>
    <row r="148" spans="1:58" s="100" customFormat="1" ht="15" customHeight="1">
      <c r="A148" s="1418"/>
      <c r="B148" s="1419"/>
      <c r="C148" s="1419"/>
      <c r="D148" s="1419"/>
      <c r="E148" s="1591"/>
      <c r="F148" s="1418"/>
      <c r="G148" s="1743" t="str">
        <f>IF(G152&gt;0,G149,"×")</f>
        <v>×</v>
      </c>
      <c r="H148" s="1699"/>
      <c r="I148" s="1699" t="str">
        <f t="shared" ref="I148" si="7">IF(I152&gt;0,I149,"×")</f>
        <v>×</v>
      </c>
      <c r="J148" s="1699"/>
      <c r="K148" s="1699" t="str">
        <f>IF(K152&gt;0,K149,"×")</f>
        <v>×</v>
      </c>
      <c r="L148" s="1699"/>
      <c r="M148" s="1699" t="str">
        <f t="shared" ref="M148" si="8">IF(M152&gt;0,M149,"×")</f>
        <v>×</v>
      </c>
      <c r="N148" s="1699"/>
      <c r="O148" s="1699" t="str">
        <f t="shared" ref="O148" si="9">IF(O152&gt;0,O149,"×")</f>
        <v>×</v>
      </c>
      <c r="P148" s="1699"/>
      <c r="Q148" s="1699" t="str">
        <f t="shared" ref="Q148" si="10">IF(Q152&gt;0,Q149,"×")</f>
        <v>×</v>
      </c>
      <c r="R148" s="1699"/>
      <c r="S148" s="1699" t="str">
        <f t="shared" ref="S148" si="11">IF(S152&gt;0,S149,"×")</f>
        <v>×</v>
      </c>
      <c r="T148" s="1699"/>
      <c r="U148" s="1699" t="str">
        <f t="shared" ref="U148" si="12">IF(U152&gt;0,U149,"×")</f>
        <v>×</v>
      </c>
      <c r="V148" s="1699"/>
      <c r="W148" s="1699" t="str">
        <f t="shared" ref="W148" si="13">IF(W152&gt;0,W149,"×")</f>
        <v>×</v>
      </c>
      <c r="X148" s="1699"/>
      <c r="Y148" s="1699" t="str">
        <f t="shared" ref="Y148" si="14">IF(Y152&gt;0,Y149,"×")</f>
        <v>×</v>
      </c>
      <c r="Z148" s="1699"/>
      <c r="AA148" s="1699" t="str">
        <f t="shared" ref="AA148" si="15">IF(AA152&gt;0,AA149,"×")</f>
        <v>×</v>
      </c>
      <c r="AB148" s="1699"/>
      <c r="AC148" s="1699" t="str">
        <f t="shared" ref="AC148" si="16">IF(AC152&gt;0,AC149,"×")</f>
        <v>×</v>
      </c>
      <c r="AD148" s="1744"/>
      <c r="AE148" s="707"/>
      <c r="AF148" s="707"/>
      <c r="AG148" s="707"/>
      <c r="AI148" s="186"/>
      <c r="AJ148" s="104"/>
      <c r="AK148" s="104"/>
      <c r="AL148" s="104"/>
      <c r="AM148" s="138"/>
      <c r="AN148" s="138"/>
      <c r="AO148" s="138"/>
      <c r="AP148" s="138"/>
      <c r="AQ148" s="104"/>
      <c r="AR148" s="104"/>
      <c r="AS148" s="104"/>
    </row>
    <row r="149" spans="1:58" s="100" customFormat="1" ht="15" customHeight="1" outlineLevel="1">
      <c r="A149" s="1418"/>
      <c r="B149" s="1419"/>
      <c r="C149" s="1419"/>
      <c r="D149" s="1419"/>
      <c r="E149" s="1591"/>
      <c r="F149" s="1654"/>
      <c r="G149" s="1652">
        <f>'(別紙5)給食・副食'!$AJ$11</f>
        <v>0</v>
      </c>
      <c r="H149" s="1377"/>
      <c r="I149" s="1377">
        <f>'(別紙5)給食・副食'!$AJ$16</f>
        <v>0</v>
      </c>
      <c r="J149" s="1377"/>
      <c r="K149" s="1377">
        <f>'(別紙5)給食・副食'!$AJ$21</f>
        <v>0</v>
      </c>
      <c r="L149" s="1377"/>
      <c r="M149" s="1377">
        <f>'(別紙5)給食・副食'!$AJ$26</f>
        <v>0</v>
      </c>
      <c r="N149" s="1377"/>
      <c r="O149" s="1377">
        <f>'(別紙5)給食・副食'!$AJ$31</f>
        <v>0</v>
      </c>
      <c r="P149" s="1377"/>
      <c r="Q149" s="1377">
        <f>'(別紙5)給食・副食'!$AJ$36</f>
        <v>0</v>
      </c>
      <c r="R149" s="1377"/>
      <c r="S149" s="1377">
        <f>'(別紙5)給食・副食'!$AJ$41</f>
        <v>0</v>
      </c>
      <c r="T149" s="1377"/>
      <c r="U149" s="1377">
        <f>'(別紙5)給食・副食'!$AJ$46</f>
        <v>0</v>
      </c>
      <c r="V149" s="1377"/>
      <c r="W149" s="1377">
        <f>'(別紙5)給食・副食'!$AJ$51</f>
        <v>0</v>
      </c>
      <c r="X149" s="1377"/>
      <c r="Y149" s="1377">
        <f>'(別紙5)給食・副食'!$AJ$56</f>
        <v>0</v>
      </c>
      <c r="Z149" s="1377"/>
      <c r="AA149" s="1377">
        <f>'(別紙5)給食・副食'!$AJ$61</f>
        <v>0</v>
      </c>
      <c r="AB149" s="1377"/>
      <c r="AC149" s="1377">
        <f>'(別紙5)給食・副食'!$AJ$66</f>
        <v>0</v>
      </c>
      <c r="AD149" s="1378"/>
      <c r="AE149" s="707"/>
      <c r="AF149" s="707"/>
      <c r="AG149" s="707"/>
      <c r="AI149" s="186"/>
      <c r="AJ149" s="104"/>
      <c r="AK149" s="104"/>
      <c r="AL149" s="104"/>
      <c r="AM149" s="138"/>
      <c r="AN149" s="138"/>
      <c r="AO149" s="138"/>
      <c r="AP149" s="138"/>
      <c r="AQ149" s="104"/>
      <c r="AR149" s="104"/>
      <c r="AS149" s="104"/>
    </row>
    <row r="150" spans="1:58" s="100" customFormat="1" ht="15" customHeight="1">
      <c r="A150" s="1418"/>
      <c r="B150" s="1419"/>
      <c r="C150" s="1419"/>
      <c r="D150" s="1419"/>
      <c r="E150" s="1591"/>
      <c r="F150" s="1653" t="s">
        <v>111</v>
      </c>
      <c r="G150" s="1384" t="s">
        <v>560</v>
      </c>
      <c r="H150" s="1384"/>
      <c r="I150" s="1384"/>
      <c r="J150" s="1384"/>
      <c r="K150" s="1384"/>
      <c r="L150" s="1384"/>
      <c r="M150" s="1384"/>
      <c r="N150" s="1384"/>
      <c r="O150" s="1384"/>
      <c r="P150" s="1384"/>
      <c r="Q150" s="1384"/>
      <c r="R150" s="1384"/>
      <c r="S150" s="1384"/>
      <c r="T150" s="1384"/>
      <c r="U150" s="1384"/>
      <c r="V150" s="1384"/>
      <c r="W150" s="1384"/>
      <c r="X150" s="1384"/>
      <c r="Y150" s="1384"/>
      <c r="Z150" s="1384"/>
      <c r="AA150" s="1379">
        <f>IF(SUM(G152:AD152)='(別紙5)給食・副食'!$J$8,SUM(G152:AD152),"別紙と不一致")</f>
        <v>0</v>
      </c>
      <c r="AB150" s="1379"/>
      <c r="AC150" s="1379"/>
      <c r="AD150" s="1380"/>
      <c r="AE150" s="668"/>
      <c r="AF150" s="668"/>
      <c r="AG150" s="668"/>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row>
    <row r="151" spans="1:58" s="100" customFormat="1" ht="15" customHeight="1">
      <c r="A151" s="1418"/>
      <c r="B151" s="1419"/>
      <c r="C151" s="1419"/>
      <c r="D151" s="1419"/>
      <c r="E151" s="1591"/>
      <c r="F151" s="1418"/>
      <c r="G151" s="1646">
        <v>4</v>
      </c>
      <c r="H151" s="1337"/>
      <c r="I151" s="1337">
        <v>5</v>
      </c>
      <c r="J151" s="1337"/>
      <c r="K151" s="1337">
        <v>6</v>
      </c>
      <c r="L151" s="1337"/>
      <c r="M151" s="1337">
        <v>7</v>
      </c>
      <c r="N151" s="1337"/>
      <c r="O151" s="1337">
        <v>8</v>
      </c>
      <c r="P151" s="1337"/>
      <c r="Q151" s="1337">
        <v>9</v>
      </c>
      <c r="R151" s="1337"/>
      <c r="S151" s="1337">
        <v>10</v>
      </c>
      <c r="T151" s="1337"/>
      <c r="U151" s="1337">
        <v>11</v>
      </c>
      <c r="V151" s="1337"/>
      <c r="W151" s="1337">
        <v>12</v>
      </c>
      <c r="X151" s="1337"/>
      <c r="Y151" s="1337">
        <v>1</v>
      </c>
      <c r="Z151" s="1337"/>
      <c r="AA151" s="1337">
        <v>2</v>
      </c>
      <c r="AB151" s="1337"/>
      <c r="AC151" s="1337">
        <v>3</v>
      </c>
      <c r="AD151" s="1381"/>
      <c r="AE151" s="668"/>
      <c r="AF151" s="668"/>
      <c r="AG151" s="668"/>
      <c r="AI151" s="187"/>
      <c r="AJ151" s="187"/>
      <c r="AK151" s="187"/>
      <c r="AL151" s="187"/>
      <c r="AM151" s="187"/>
      <c r="AN151" s="187"/>
      <c r="AO151" s="187"/>
      <c r="AP151" s="187"/>
      <c r="AQ151" s="187"/>
      <c r="AR151" s="187"/>
      <c r="AS151" s="187"/>
      <c r="AT151" s="187"/>
      <c r="AU151" s="187"/>
      <c r="AV151" s="187"/>
      <c r="AW151" s="187"/>
      <c r="AX151" s="187"/>
      <c r="AY151" s="187"/>
      <c r="AZ151" s="187"/>
      <c r="BA151" s="187"/>
      <c r="BB151" s="187"/>
      <c r="BC151" s="187"/>
      <c r="BD151" s="187"/>
      <c r="BE151" s="187"/>
      <c r="BF151" s="187"/>
    </row>
    <row r="152" spans="1:58" s="100" customFormat="1" ht="15" customHeight="1">
      <c r="A152" s="1418"/>
      <c r="B152" s="1419"/>
      <c r="C152" s="1419"/>
      <c r="D152" s="1419"/>
      <c r="E152" s="1591"/>
      <c r="F152" s="1654"/>
      <c r="G152" s="1656">
        <f>'(別紙5)給食・副食'!$AJ$12</f>
        <v>0</v>
      </c>
      <c r="H152" s="1390"/>
      <c r="I152" s="1390">
        <f>'(別紙5)給食・副食'!$AJ$17</f>
        <v>0</v>
      </c>
      <c r="J152" s="1390"/>
      <c r="K152" s="1390">
        <f>'(別紙5)給食・副食'!$AJ$22</f>
        <v>0</v>
      </c>
      <c r="L152" s="1390"/>
      <c r="M152" s="1390">
        <f>'(別紙5)給食・副食'!$AJ$27</f>
        <v>0</v>
      </c>
      <c r="N152" s="1390"/>
      <c r="O152" s="1390">
        <f>'(別紙5)給食・副食'!$AJ$32</f>
        <v>0</v>
      </c>
      <c r="P152" s="1390"/>
      <c r="Q152" s="1390">
        <f>'(別紙5)給食・副食'!$AJ$37</f>
        <v>0</v>
      </c>
      <c r="R152" s="1390"/>
      <c r="S152" s="1390">
        <f>'(別紙5)給食・副食'!$AJ$42</f>
        <v>0</v>
      </c>
      <c r="T152" s="1390"/>
      <c r="U152" s="1390">
        <f>'(別紙5)給食・副食'!$AJ$47</f>
        <v>0</v>
      </c>
      <c r="V152" s="1390"/>
      <c r="W152" s="1390">
        <f>'(別紙5)給食・副食'!$AJ$52</f>
        <v>0</v>
      </c>
      <c r="X152" s="1390"/>
      <c r="Y152" s="1390">
        <f>'(別紙5)給食・副食'!$AJ$57</f>
        <v>0</v>
      </c>
      <c r="Z152" s="1390"/>
      <c r="AA152" s="1390">
        <f>'(別紙5)給食・副食'!$AJ$62</f>
        <v>0</v>
      </c>
      <c r="AB152" s="1390"/>
      <c r="AC152" s="1390">
        <f>'(別紙5)給食・副食'!$AJ$67</f>
        <v>0</v>
      </c>
      <c r="AD152" s="1655"/>
      <c r="AE152" s="668"/>
      <c r="AF152" s="668"/>
      <c r="AG152" s="668"/>
      <c r="AI152" s="185"/>
      <c r="AJ152" s="104"/>
      <c r="AK152" s="104"/>
      <c r="AL152" s="104"/>
      <c r="AM152" s="107"/>
      <c r="AN152" s="107"/>
      <c r="AO152" s="107"/>
      <c r="AP152" s="107"/>
      <c r="AQ152" s="104"/>
      <c r="AR152" s="104"/>
      <c r="AS152" s="104"/>
    </row>
    <row r="153" spans="1:58" s="100" customFormat="1" ht="15" customHeight="1">
      <c r="A153" s="1420"/>
      <c r="B153" s="1421"/>
      <c r="C153" s="1421"/>
      <c r="D153" s="1421"/>
      <c r="E153" s="1592"/>
      <c r="F153" s="744" t="s">
        <v>433</v>
      </c>
      <c r="G153" s="1435" t="s">
        <v>434</v>
      </c>
      <c r="H153" s="1435"/>
      <c r="I153" s="1435"/>
      <c r="J153" s="1435"/>
      <c r="K153" s="1435"/>
      <c r="L153" s="1435"/>
      <c r="M153" s="1435"/>
      <c r="N153" s="1435"/>
      <c r="O153" s="1435"/>
      <c r="P153" s="1435"/>
      <c r="Q153" s="1435"/>
      <c r="R153" s="1435"/>
      <c r="S153" s="1435"/>
      <c r="T153" s="1435"/>
      <c r="U153" s="1435"/>
      <c r="V153" s="1435"/>
      <c r="W153" s="1435"/>
      <c r="X153" s="1435"/>
      <c r="Y153" s="1435"/>
      <c r="Z153" s="1435"/>
      <c r="AA153" s="1387">
        <f>IF(ISERROR(AA150/AA146*20),0,AA150/AA146*20)</f>
        <v>0</v>
      </c>
      <c r="AB153" s="1387"/>
      <c r="AC153" s="1387"/>
      <c r="AD153" s="1388"/>
      <c r="AE153" s="707"/>
      <c r="AF153" s="707"/>
      <c r="AG153" s="707"/>
      <c r="AI153" s="73"/>
      <c r="AJ153" s="104"/>
      <c r="AK153" s="104"/>
      <c r="AL153" s="104"/>
      <c r="AM153" s="104"/>
      <c r="AN153" s="104"/>
      <c r="AO153" s="104"/>
      <c r="AP153" s="104"/>
      <c r="AQ153" s="104"/>
      <c r="AR153" s="104"/>
      <c r="AS153" s="104"/>
    </row>
    <row r="154" spans="1:58" ht="15" customHeight="1">
      <c r="A154" s="1273" t="s">
        <v>67</v>
      </c>
      <c r="B154" s="1274"/>
      <c r="C154" s="1274"/>
      <c r="D154" s="1274"/>
      <c r="E154" s="1275"/>
      <c r="F154" s="1455" t="s">
        <v>1012</v>
      </c>
      <c r="G154" s="1432"/>
      <c r="H154" s="1432"/>
      <c r="I154" s="1432"/>
      <c r="J154" s="1432"/>
      <c r="K154" s="1432"/>
      <c r="L154" s="1432"/>
      <c r="M154" s="1432"/>
      <c r="N154" s="1432"/>
      <c r="O154" s="1432"/>
      <c r="P154" s="1432"/>
      <c r="Q154" s="1432"/>
      <c r="R154" s="1432"/>
      <c r="S154" s="1432"/>
      <c r="T154" s="1432"/>
      <c r="U154" s="1432"/>
      <c r="V154" s="1432"/>
      <c r="W154" s="1432"/>
      <c r="X154" s="1432"/>
      <c r="Y154" s="1432"/>
      <c r="Z154" s="1432"/>
      <c r="AA154" s="1432"/>
      <c r="AB154" s="1432"/>
      <c r="AC154" s="1432"/>
      <c r="AD154" s="1433"/>
      <c r="AE154" s="742"/>
      <c r="AF154" s="743"/>
      <c r="AG154" s="743"/>
      <c r="AH154" s="99"/>
      <c r="AI154" s="83"/>
      <c r="AJ154" s="74"/>
      <c r="AK154" s="74"/>
      <c r="AL154" s="74"/>
      <c r="AM154" s="74"/>
      <c r="AN154" s="73"/>
      <c r="AO154" s="73"/>
      <c r="AP154" s="73"/>
      <c r="AQ154" s="73"/>
      <c r="AR154" s="73"/>
      <c r="AS154" s="73"/>
    </row>
    <row r="155" spans="1:58" s="160" customFormat="1" ht="15" customHeight="1">
      <c r="A155" s="1276"/>
      <c r="B155" s="1277"/>
      <c r="C155" s="1277"/>
      <c r="D155" s="1277"/>
      <c r="E155" s="1278"/>
      <c r="F155" s="1638" t="s">
        <v>527</v>
      </c>
      <c r="G155" s="1389"/>
      <c r="H155" s="1389"/>
      <c r="I155" s="1389"/>
      <c r="J155" s="1389"/>
      <c r="K155" s="1389"/>
      <c r="L155" s="1389"/>
      <c r="M155" s="1389"/>
      <c r="N155" s="1389"/>
      <c r="O155" s="1389"/>
      <c r="P155" s="1389"/>
      <c r="Q155" s="1389"/>
      <c r="R155" s="1389"/>
      <c r="S155" s="1389"/>
      <c r="T155" s="1389"/>
      <c r="U155" s="1389"/>
      <c r="V155" s="1389"/>
      <c r="W155" s="1389"/>
      <c r="X155" s="1389"/>
      <c r="Y155" s="1389"/>
      <c r="Z155" s="1389"/>
      <c r="AA155" s="1389"/>
      <c r="AB155" s="1389"/>
      <c r="AC155" s="1389"/>
      <c r="AD155" s="1639"/>
      <c r="AE155" s="936"/>
      <c r="AF155" s="937"/>
      <c r="AG155" s="937"/>
    </row>
    <row r="156" spans="1:58" s="160" customFormat="1" ht="24.95" customHeight="1">
      <c r="A156" s="1276"/>
      <c r="B156" s="1277"/>
      <c r="C156" s="1277"/>
      <c r="D156" s="1277"/>
      <c r="E156" s="1278"/>
      <c r="F156" s="1638" t="s">
        <v>526</v>
      </c>
      <c r="G156" s="1389"/>
      <c r="H156" s="1389"/>
      <c r="I156" s="1389"/>
      <c r="J156" s="1389"/>
      <c r="K156" s="1389"/>
      <c r="L156" s="1389"/>
      <c r="M156" s="1389"/>
      <c r="N156" s="1389"/>
      <c r="O156" s="1389"/>
      <c r="P156" s="1389"/>
      <c r="Q156" s="1389"/>
      <c r="R156" s="1389"/>
      <c r="S156" s="1389"/>
      <c r="T156" s="1389"/>
      <c r="U156" s="1389"/>
      <c r="V156" s="1389"/>
      <c r="W156" s="1389"/>
      <c r="X156" s="1389"/>
      <c r="Y156" s="1389"/>
      <c r="Z156" s="1389"/>
      <c r="AA156" s="1389"/>
      <c r="AB156" s="1389"/>
      <c r="AC156" s="1389"/>
      <c r="AD156" s="1639"/>
      <c r="AE156" s="936"/>
      <c r="AF156" s="937"/>
      <c r="AG156" s="937"/>
    </row>
    <row r="157" spans="1:58" s="160" customFormat="1" ht="15" customHeight="1">
      <c r="A157" s="1276"/>
      <c r="B157" s="1277"/>
      <c r="C157" s="1277"/>
      <c r="D157" s="1277"/>
      <c r="E157" s="1278"/>
      <c r="F157" s="1638" t="s">
        <v>528</v>
      </c>
      <c r="G157" s="1389"/>
      <c r="H157" s="1389"/>
      <c r="I157" s="1389"/>
      <c r="J157" s="1389"/>
      <c r="K157" s="1389"/>
      <c r="L157" s="1389"/>
      <c r="M157" s="1389"/>
      <c r="N157" s="1389"/>
      <c r="O157" s="1389"/>
      <c r="P157" s="1389"/>
      <c r="Q157" s="1389"/>
      <c r="R157" s="1389"/>
      <c r="S157" s="1389"/>
      <c r="T157" s="1389"/>
      <c r="U157" s="1389"/>
      <c r="V157" s="1389"/>
      <c r="W157" s="1389"/>
      <c r="X157" s="1389"/>
      <c r="Y157" s="1389"/>
      <c r="Z157" s="1389"/>
      <c r="AA157" s="1389"/>
      <c r="AB157" s="1389"/>
      <c r="AC157" s="1389"/>
      <c r="AD157" s="1639"/>
      <c r="AE157" s="936"/>
      <c r="AF157" s="937"/>
      <c r="AG157" s="937"/>
    </row>
    <row r="158" spans="1:58" s="99" customFormat="1" ht="15" customHeight="1">
      <c r="A158" s="1340"/>
      <c r="B158" s="1341"/>
      <c r="C158" s="1341"/>
      <c r="D158" s="1341"/>
      <c r="E158" s="1342"/>
      <c r="F158" s="1640" t="s">
        <v>440</v>
      </c>
      <c r="G158" s="1541"/>
      <c r="H158" s="1541"/>
      <c r="I158" s="1541"/>
      <c r="J158" s="1541"/>
      <c r="K158" s="1541"/>
      <c r="L158" s="1541"/>
      <c r="M158" s="1541"/>
      <c r="N158" s="1541"/>
      <c r="O158" s="1541"/>
      <c r="P158" s="1541"/>
      <c r="Q158" s="1541"/>
      <c r="R158" s="1541"/>
      <c r="S158" s="1541"/>
      <c r="T158" s="1541"/>
      <c r="U158" s="1541"/>
      <c r="V158" s="1541"/>
      <c r="W158" s="1541"/>
      <c r="X158" s="1541"/>
      <c r="Y158" s="1541"/>
      <c r="Z158" s="1541"/>
      <c r="AA158" s="1541"/>
      <c r="AB158" s="1541"/>
      <c r="AC158" s="1541"/>
      <c r="AD158" s="1641"/>
      <c r="AE158" s="742"/>
      <c r="AF158" s="743"/>
      <c r="AG158" s="743"/>
      <c r="AI158" s="81"/>
    </row>
    <row r="159" spans="1:58" s="99" customFormat="1" ht="15" customHeight="1">
      <c r="A159" s="1642" t="s">
        <v>438</v>
      </c>
      <c r="B159" s="1642"/>
      <c r="C159" s="1642"/>
      <c r="D159" s="1642"/>
      <c r="E159" s="1642"/>
      <c r="F159" s="1642"/>
      <c r="G159" s="1642"/>
      <c r="H159" s="1642"/>
      <c r="I159" s="1642"/>
      <c r="J159" s="1642"/>
      <c r="K159" s="1642"/>
      <c r="L159" s="1642"/>
      <c r="M159" s="1642"/>
      <c r="N159" s="1642"/>
      <c r="O159" s="1642"/>
      <c r="P159" s="1642"/>
      <c r="Q159" s="1642"/>
      <c r="R159" s="1642"/>
      <c r="S159" s="1642"/>
      <c r="T159" s="1642"/>
      <c r="U159" s="1642"/>
      <c r="V159" s="1642"/>
      <c r="W159" s="1642"/>
      <c r="X159" s="1642"/>
      <c r="Y159" s="1642"/>
      <c r="Z159" s="1642"/>
      <c r="AA159" s="1642"/>
      <c r="AB159" s="1642"/>
      <c r="AC159" s="1642"/>
      <c r="AD159" s="1642"/>
      <c r="AE159" s="1642"/>
      <c r="AF159" s="1642"/>
      <c r="AG159" s="1642"/>
      <c r="AI159" s="81"/>
    </row>
    <row r="160" spans="1:58" ht="15" customHeight="1">
      <c r="A160" s="1310" t="s">
        <v>353</v>
      </c>
      <c r="B160" s="1310"/>
      <c r="C160" s="1310"/>
      <c r="D160" s="1310"/>
      <c r="E160" s="1310"/>
      <c r="F160" s="1310" t="s">
        <v>521</v>
      </c>
      <c r="G160" s="1310"/>
      <c r="H160" s="1310"/>
      <c r="I160" s="1310"/>
      <c r="J160" s="1310"/>
      <c r="K160" s="1310"/>
      <c r="L160" s="1310"/>
      <c r="M160" s="1310"/>
      <c r="N160" s="1310"/>
      <c r="O160" s="1310"/>
      <c r="P160" s="1310"/>
      <c r="Q160" s="1310"/>
      <c r="R160" s="1310"/>
      <c r="S160" s="1310"/>
      <c r="T160" s="1310"/>
      <c r="U160" s="1310"/>
      <c r="V160" s="1310"/>
      <c r="W160" s="1310"/>
      <c r="X160" s="1310"/>
      <c r="Y160" s="1310"/>
      <c r="Z160" s="1310"/>
      <c r="AA160" s="1310"/>
      <c r="AB160" s="1310"/>
      <c r="AC160" s="1310"/>
      <c r="AD160" s="1310"/>
      <c r="AE160" s="707"/>
      <c r="AF160" s="707"/>
      <c r="AG160" s="707"/>
      <c r="AH160" s="100"/>
    </row>
    <row r="161" spans="1:48" ht="24.95" customHeight="1">
      <c r="A161" s="1643" t="s">
        <v>205</v>
      </c>
      <c r="B161" s="1643"/>
      <c r="C161" s="1643"/>
      <c r="D161" s="1643"/>
      <c r="E161" s="1643"/>
      <c r="F161" s="1644" t="s">
        <v>524</v>
      </c>
      <c r="G161" s="1644"/>
      <c r="H161" s="1644"/>
      <c r="I161" s="1644"/>
      <c r="J161" s="1644"/>
      <c r="K161" s="1644"/>
      <c r="L161" s="1644"/>
      <c r="M161" s="1644"/>
      <c r="N161" s="1644"/>
      <c r="O161" s="1644"/>
      <c r="P161" s="1644"/>
      <c r="Q161" s="1644"/>
      <c r="R161" s="1644"/>
      <c r="S161" s="1644"/>
      <c r="T161" s="1644"/>
      <c r="U161" s="1644"/>
      <c r="V161" s="1644"/>
      <c r="W161" s="1644"/>
      <c r="X161" s="1644"/>
      <c r="Y161" s="1644"/>
      <c r="Z161" s="1644"/>
      <c r="AA161" s="1644"/>
      <c r="AB161" s="1644"/>
      <c r="AC161" s="1644"/>
      <c r="AD161" s="1644"/>
      <c r="AE161" s="707"/>
      <c r="AF161" s="707"/>
      <c r="AG161" s="707"/>
      <c r="AH161" s="100"/>
    </row>
    <row r="162" spans="1:48" ht="24.95" customHeight="1">
      <c r="A162" s="1650" t="s">
        <v>520</v>
      </c>
      <c r="B162" s="1650"/>
      <c r="C162" s="1650"/>
      <c r="D162" s="1650"/>
      <c r="E162" s="1650"/>
      <c r="F162" s="1651" t="s">
        <v>525</v>
      </c>
      <c r="G162" s="1651"/>
      <c r="H162" s="1651"/>
      <c r="I162" s="1651"/>
      <c r="J162" s="1651"/>
      <c r="K162" s="1651"/>
      <c r="L162" s="1651"/>
      <c r="M162" s="1651"/>
      <c r="N162" s="1651"/>
      <c r="O162" s="1651"/>
      <c r="P162" s="1651"/>
      <c r="Q162" s="1651"/>
      <c r="R162" s="1651"/>
      <c r="S162" s="1651"/>
      <c r="T162" s="1651"/>
      <c r="U162" s="1651"/>
      <c r="V162" s="1651"/>
      <c r="W162" s="1651"/>
      <c r="X162" s="1651"/>
      <c r="Y162" s="1651"/>
      <c r="Z162" s="1651"/>
      <c r="AA162" s="1651"/>
      <c r="AB162" s="1651"/>
      <c r="AC162" s="1651"/>
      <c r="AD162" s="1651"/>
      <c r="AE162" s="707"/>
      <c r="AF162" s="707"/>
      <c r="AG162" s="707"/>
      <c r="AH162" s="100"/>
    </row>
    <row r="163" spans="1:48" s="99" customFormat="1" ht="39.950000000000003" customHeight="1">
      <c r="A163" s="1389" t="s">
        <v>559</v>
      </c>
      <c r="B163" s="1389"/>
      <c r="C163" s="1389"/>
      <c r="D163" s="1389"/>
      <c r="E163" s="1389"/>
      <c r="F163" s="1389"/>
      <c r="G163" s="1389"/>
      <c r="H163" s="1389"/>
      <c r="I163" s="1389"/>
      <c r="J163" s="1389"/>
      <c r="K163" s="1389"/>
      <c r="L163" s="1389"/>
      <c r="M163" s="1389"/>
      <c r="N163" s="1389"/>
      <c r="O163" s="1389"/>
      <c r="P163" s="1389"/>
      <c r="Q163" s="1389"/>
      <c r="R163" s="1389"/>
      <c r="S163" s="1389"/>
      <c r="T163" s="1389"/>
      <c r="U163" s="1389"/>
      <c r="V163" s="1389"/>
      <c r="W163" s="1389"/>
      <c r="X163" s="1389"/>
      <c r="Y163" s="1389"/>
      <c r="Z163" s="1389"/>
      <c r="AA163" s="1389"/>
      <c r="AB163" s="1389"/>
      <c r="AC163" s="1389"/>
      <c r="AD163" s="1389"/>
      <c r="AE163" s="1389"/>
      <c r="AF163" s="1389"/>
      <c r="AG163" s="1389"/>
      <c r="AI163" s="81"/>
    </row>
    <row r="164" spans="1:48" s="99" customFormat="1" ht="15" customHeight="1">
      <c r="A164" s="1542" t="s">
        <v>974</v>
      </c>
      <c r="B164" s="1542"/>
      <c r="C164" s="1542"/>
      <c r="D164" s="1542"/>
      <c r="E164" s="1542"/>
      <c r="F164" s="1542"/>
      <c r="G164" s="1542"/>
      <c r="H164" s="1542"/>
      <c r="I164" s="1542"/>
      <c r="J164" s="1542"/>
      <c r="K164" s="1542"/>
      <c r="L164" s="1542"/>
      <c r="M164" s="1542"/>
      <c r="N164" s="1542"/>
      <c r="O164" s="1542"/>
      <c r="P164" s="1542"/>
      <c r="Q164" s="1542"/>
      <c r="R164" s="1542"/>
      <c r="S164" s="1542"/>
      <c r="T164" s="1542"/>
      <c r="U164" s="1542"/>
      <c r="V164" s="1542"/>
      <c r="W164" s="1542"/>
      <c r="X164" s="1542"/>
      <c r="Y164" s="1542"/>
      <c r="Z164" s="1542"/>
      <c r="AA164" s="1542"/>
      <c r="AB164" s="1542"/>
      <c r="AC164" s="1542"/>
      <c r="AD164" s="1542"/>
      <c r="AE164" s="1542"/>
      <c r="AF164" s="1542"/>
      <c r="AG164" s="1542"/>
      <c r="AH164" s="87"/>
      <c r="AI164" s="938"/>
      <c r="AJ164" s="87"/>
      <c r="AK164" s="87"/>
      <c r="AL164" s="87"/>
      <c r="AM164" s="87"/>
    </row>
    <row r="165" spans="1:48" s="99" customFormat="1" ht="15" customHeight="1">
      <c r="A165" s="1542"/>
      <c r="B165" s="1542"/>
      <c r="C165" s="1542"/>
      <c r="D165" s="1542"/>
      <c r="E165" s="1542"/>
      <c r="F165" s="1542"/>
      <c r="G165" s="1542"/>
      <c r="H165" s="1542"/>
      <c r="I165" s="1542"/>
      <c r="J165" s="1542"/>
      <c r="K165" s="1542"/>
      <c r="L165" s="1542"/>
      <c r="M165" s="1542"/>
      <c r="N165" s="1542"/>
      <c r="O165" s="1542"/>
      <c r="P165" s="1542"/>
      <c r="Q165" s="1542"/>
      <c r="R165" s="1542"/>
      <c r="S165" s="1542"/>
      <c r="T165" s="1542"/>
      <c r="U165" s="1542"/>
      <c r="V165" s="1542"/>
      <c r="W165" s="1542"/>
      <c r="X165" s="1542"/>
      <c r="Y165" s="1542"/>
      <c r="Z165" s="1542"/>
      <c r="AA165" s="1542"/>
      <c r="AB165" s="1542"/>
      <c r="AC165" s="1542"/>
      <c r="AD165" s="1542"/>
      <c r="AE165" s="1542"/>
      <c r="AF165" s="1542"/>
      <c r="AG165" s="1542"/>
      <c r="AH165" s="87"/>
      <c r="AI165" s="938"/>
      <c r="AJ165" s="87"/>
      <c r="AK165" s="87"/>
      <c r="AL165" s="87"/>
      <c r="AM165" s="87"/>
    </row>
    <row r="166" spans="1:48" ht="15" customHeight="1" thickBot="1">
      <c r="A166" s="937"/>
      <c r="B166" s="937"/>
      <c r="C166" s="937"/>
      <c r="D166" s="937"/>
      <c r="E166" s="937"/>
      <c r="F166" s="937"/>
      <c r="G166" s="937"/>
      <c r="H166" s="937"/>
      <c r="I166" s="937"/>
      <c r="J166" s="937"/>
      <c r="K166" s="937"/>
      <c r="L166" s="937"/>
      <c r="M166" s="937"/>
      <c r="N166" s="937"/>
      <c r="O166" s="937"/>
      <c r="P166" s="937"/>
      <c r="Q166" s="937"/>
      <c r="R166" s="937"/>
      <c r="S166" s="937"/>
      <c r="T166" s="937"/>
      <c r="U166" s="937"/>
      <c r="V166" s="937"/>
      <c r="W166" s="937"/>
      <c r="X166" s="937"/>
      <c r="Y166" s="937"/>
      <c r="Z166" s="937"/>
      <c r="AA166" s="937"/>
      <c r="AB166" s="937"/>
      <c r="AC166" s="937"/>
      <c r="AD166" s="937"/>
      <c r="AE166" s="937"/>
      <c r="AF166" s="715"/>
      <c r="AG166" s="715"/>
      <c r="AH166" s="99"/>
      <c r="AI166" s="81"/>
      <c r="AJ166" s="99"/>
      <c r="AK166" s="99"/>
      <c r="AL166" s="99"/>
      <c r="AM166" s="99"/>
    </row>
    <row r="167" spans="1:48" ht="15" customHeight="1" thickBot="1">
      <c r="A167" s="1645" t="s">
        <v>1127</v>
      </c>
      <c r="B167" s="1645"/>
      <c r="C167" s="1645"/>
      <c r="D167" s="1645"/>
      <c r="E167" s="1645"/>
      <c r="F167" s="1645"/>
      <c r="G167" s="1645"/>
      <c r="H167" s="1645"/>
      <c r="I167" s="1645"/>
      <c r="J167" s="1311" t="str">
        <f>IF(AND(AI169,AI171,AI172),AA173,"×")</f>
        <v>×</v>
      </c>
      <c r="K167" s="1312"/>
      <c r="L167" s="1312"/>
      <c r="M167" s="1312"/>
      <c r="N167" s="1313"/>
      <c r="O167" s="714" t="s">
        <v>167</v>
      </c>
      <c r="P167" s="715"/>
      <c r="Q167" s="715"/>
      <c r="R167" s="715"/>
      <c r="S167" s="715"/>
      <c r="T167" s="715"/>
      <c r="U167" s="715"/>
      <c r="V167" s="715"/>
      <c r="W167" s="715"/>
      <c r="X167" s="715"/>
      <c r="Y167" s="715"/>
      <c r="Z167" s="715"/>
      <c r="AA167" s="715"/>
      <c r="AB167" s="715"/>
      <c r="AC167" s="715"/>
      <c r="AD167" s="715"/>
      <c r="AE167" s="715"/>
      <c r="AF167" s="715"/>
      <c r="AG167" s="715"/>
      <c r="AI167" s="938"/>
    </row>
    <row r="168" spans="1:48" ht="15" customHeight="1">
      <c r="A168" s="1701" t="s">
        <v>443</v>
      </c>
      <c r="B168" s="1701"/>
      <c r="C168" s="1701"/>
      <c r="D168" s="1701"/>
      <c r="E168" s="1701"/>
      <c r="F168" s="1701"/>
      <c r="G168" s="1701"/>
      <c r="H168" s="1701"/>
      <c r="I168" s="1701"/>
      <c r="J168" s="1701"/>
      <c r="K168" s="1701"/>
      <c r="L168" s="1701"/>
      <c r="M168" s="1701"/>
      <c r="N168" s="1701"/>
      <c r="O168" s="1701"/>
      <c r="P168" s="1701"/>
      <c r="Q168" s="1701"/>
      <c r="R168" s="1701"/>
      <c r="S168" s="1701"/>
      <c r="T168" s="1701"/>
      <c r="U168" s="1701"/>
      <c r="V168" s="1701"/>
      <c r="W168" s="1701"/>
      <c r="X168" s="1701"/>
      <c r="Y168" s="1701"/>
      <c r="Z168" s="1701"/>
      <c r="AA168" s="1701"/>
      <c r="AB168" s="1701"/>
      <c r="AC168" s="1701"/>
      <c r="AD168" s="1701"/>
      <c r="AE168" s="1701"/>
      <c r="AF168" s="1701"/>
      <c r="AG168" s="1701"/>
      <c r="AI168" s="938"/>
    </row>
    <row r="169" spans="1:48" ht="15" customHeight="1">
      <c r="A169" s="1354" t="s">
        <v>150</v>
      </c>
      <c r="B169" s="1355"/>
      <c r="C169" s="1355"/>
      <c r="D169" s="1355"/>
      <c r="E169" s="1356"/>
      <c r="F169" s="1574"/>
      <c r="G169" s="1574"/>
      <c r="H169" s="1574"/>
      <c r="I169" s="1574"/>
      <c r="J169" s="1574"/>
      <c r="K169" s="1574"/>
      <c r="L169" s="743"/>
      <c r="M169" s="743"/>
      <c r="N169" s="743"/>
      <c r="O169" s="743"/>
      <c r="P169" s="743"/>
      <c r="Q169" s="743"/>
      <c r="R169" s="743"/>
      <c r="S169" s="743"/>
      <c r="T169" s="743"/>
      <c r="U169" s="743"/>
      <c r="V169" s="743"/>
      <c r="W169" s="743"/>
      <c r="X169" s="743"/>
      <c r="Y169" s="743"/>
      <c r="Z169" s="743"/>
      <c r="AA169" s="743"/>
      <c r="AB169" s="743"/>
      <c r="AC169" s="743"/>
      <c r="AD169" s="743"/>
      <c r="AE169" s="743"/>
      <c r="AF169" s="743"/>
      <c r="AG169" s="743"/>
      <c r="AI169" s="312" t="b">
        <f>F169="申請する"</f>
        <v>0</v>
      </c>
    </row>
    <row r="170" spans="1:48" ht="15" customHeight="1">
      <c r="A170" s="1297" t="s">
        <v>442</v>
      </c>
      <c r="B170" s="1274"/>
      <c r="C170" s="1274"/>
      <c r="D170" s="1274"/>
      <c r="E170" s="1274"/>
      <c r="F170" s="1356" t="s">
        <v>131</v>
      </c>
      <c r="G170" s="1385"/>
      <c r="H170" s="1385"/>
      <c r="I170" s="1385"/>
      <c r="J170" s="1385"/>
      <c r="K170" s="1385"/>
      <c r="L170" s="1385"/>
      <c r="M170" s="1385"/>
      <c r="N170" s="1385"/>
      <c r="O170" s="1385"/>
      <c r="P170" s="1385"/>
      <c r="Q170" s="1385"/>
      <c r="R170" s="1385"/>
      <c r="S170" s="1385"/>
      <c r="T170" s="1385"/>
      <c r="U170" s="1385"/>
      <c r="V170" s="1385"/>
      <c r="W170" s="1385"/>
      <c r="X170" s="1385"/>
      <c r="Y170" s="1385"/>
      <c r="Z170" s="1385"/>
      <c r="AA170" s="1385" t="s">
        <v>195</v>
      </c>
      <c r="AB170" s="1385"/>
      <c r="AC170" s="1385"/>
      <c r="AD170" s="1385"/>
      <c r="AE170" s="743"/>
      <c r="AF170" s="743"/>
      <c r="AG170" s="743"/>
      <c r="AI170" s="964"/>
    </row>
    <row r="171" spans="1:48" ht="24.95" customHeight="1">
      <c r="A171" s="1276"/>
      <c r="B171" s="1277"/>
      <c r="C171" s="1277"/>
      <c r="D171" s="1277"/>
      <c r="E171" s="1277"/>
      <c r="F171" s="952">
        <v>1</v>
      </c>
      <c r="G171" s="1349" t="s">
        <v>499</v>
      </c>
      <c r="H171" s="1349"/>
      <c r="I171" s="1349"/>
      <c r="J171" s="1349"/>
      <c r="K171" s="1349"/>
      <c r="L171" s="1349"/>
      <c r="M171" s="1349"/>
      <c r="N171" s="1349"/>
      <c r="O171" s="1349"/>
      <c r="P171" s="1349"/>
      <c r="Q171" s="1349"/>
      <c r="R171" s="1349"/>
      <c r="S171" s="1349"/>
      <c r="T171" s="1349"/>
      <c r="U171" s="1349"/>
      <c r="V171" s="1349"/>
      <c r="W171" s="1349"/>
      <c r="X171" s="1349"/>
      <c r="Y171" s="1349"/>
      <c r="Z171" s="1350"/>
      <c r="AA171" s="1574"/>
      <c r="AB171" s="1574"/>
      <c r="AC171" s="1574"/>
      <c r="AD171" s="1574"/>
      <c r="AE171" s="743"/>
      <c r="AF171" s="743"/>
      <c r="AG171" s="743"/>
      <c r="AI171" s="312" t="b">
        <f>AA171="○"</f>
        <v>0</v>
      </c>
    </row>
    <row r="172" spans="1:48" ht="15" customHeight="1">
      <c r="A172" s="1276"/>
      <c r="B172" s="1277"/>
      <c r="C172" s="1277"/>
      <c r="D172" s="1277"/>
      <c r="E172" s="1277"/>
      <c r="F172" s="1273">
        <v>2</v>
      </c>
      <c r="G172" s="1432" t="s">
        <v>441</v>
      </c>
      <c r="H172" s="1432"/>
      <c r="I172" s="1432"/>
      <c r="J172" s="1432"/>
      <c r="K172" s="1432"/>
      <c r="L172" s="1432"/>
      <c r="M172" s="1432"/>
      <c r="N172" s="1432"/>
      <c r="O172" s="1432"/>
      <c r="P172" s="1432"/>
      <c r="Q172" s="1432"/>
      <c r="R172" s="1432"/>
      <c r="S172" s="1432"/>
      <c r="T172" s="1432"/>
      <c r="U172" s="1432"/>
      <c r="V172" s="1432"/>
      <c r="W172" s="1432"/>
      <c r="X172" s="1432"/>
      <c r="Y172" s="1432"/>
      <c r="Z172" s="1433"/>
      <c r="AA172" s="1273" t="str">
        <f>IF(ISERROR(V173),"×",IF(V173&gt;0,"○","×"))</f>
        <v>×</v>
      </c>
      <c r="AB172" s="1274"/>
      <c r="AC172" s="1274"/>
      <c r="AD172" s="1275"/>
      <c r="AE172" s="715"/>
      <c r="AF172" s="715"/>
      <c r="AG172" s="715"/>
      <c r="AI172" s="963" t="b">
        <f>AA172="○"</f>
        <v>0</v>
      </c>
      <c r="AJ172" s="840" t="s">
        <v>951</v>
      </c>
      <c r="AK172" s="840">
        <v>4</v>
      </c>
      <c r="AL172" s="840">
        <v>5</v>
      </c>
      <c r="AM172" s="840">
        <v>6</v>
      </c>
      <c r="AN172" s="840">
        <v>7</v>
      </c>
      <c r="AO172" s="840">
        <v>8</v>
      </c>
      <c r="AP172" s="840">
        <v>9</v>
      </c>
      <c r="AQ172" s="840">
        <v>10</v>
      </c>
      <c r="AR172" s="840">
        <v>11</v>
      </c>
      <c r="AS172" s="840">
        <v>12</v>
      </c>
      <c r="AT172" s="840">
        <v>1</v>
      </c>
      <c r="AU172" s="840">
        <v>2</v>
      </c>
      <c r="AV172" s="840">
        <v>3</v>
      </c>
    </row>
    <row r="173" spans="1:48" ht="125.1" customHeight="1">
      <c r="A173" s="1276"/>
      <c r="B173" s="1277"/>
      <c r="C173" s="1277"/>
      <c r="D173" s="1277"/>
      <c r="E173" s="1277"/>
      <c r="F173" s="1276"/>
      <c r="G173" s="1288" t="s">
        <v>953</v>
      </c>
      <c r="H173" s="1288"/>
      <c r="I173" s="1288"/>
      <c r="J173" s="1288"/>
      <c r="K173" s="1288"/>
      <c r="L173" s="1288"/>
      <c r="M173" s="1288"/>
      <c r="N173" s="1288"/>
      <c r="O173" s="1288"/>
      <c r="P173" s="1288"/>
      <c r="Q173" s="1288"/>
      <c r="R173" s="1288"/>
      <c r="S173" s="1288"/>
      <c r="T173" s="1288"/>
      <c r="U173" s="1288"/>
      <c r="V173" s="1559">
        <f>IFERROR(HLOOKUP($I$10,$AK$172:$AV$174,2,FALSE),0)</f>
        <v>0</v>
      </c>
      <c r="W173" s="1560"/>
      <c r="X173" s="1560"/>
      <c r="Y173" s="1560"/>
      <c r="Z173" s="1561"/>
      <c r="AA173" s="1568">
        <f>MIN(20,V173)</f>
        <v>0</v>
      </c>
      <c r="AB173" s="1569"/>
      <c r="AC173" s="1569"/>
      <c r="AD173" s="1570"/>
      <c r="AE173" s="715"/>
      <c r="AF173" s="715"/>
      <c r="AG173" s="715"/>
      <c r="AI173" s="185"/>
      <c r="AJ173" s="840" t="s">
        <v>952</v>
      </c>
      <c r="AK173" s="840">
        <f>'(別紙5)給食・副食'!$AJ$13</f>
        <v>0</v>
      </c>
      <c r="AL173" s="840">
        <f>'(別紙5)給食・副食'!$AJ$18</f>
        <v>0</v>
      </c>
      <c r="AM173" s="841">
        <f>'(別紙5)給食・副食'!$AJ$23</f>
        <v>0</v>
      </c>
      <c r="AN173" s="841">
        <f>'(別紙5)給食・副食'!$AJ$28</f>
        <v>0</v>
      </c>
      <c r="AO173" s="840">
        <f>'(別紙5)給食・副食'!$AJ$33</f>
        <v>0</v>
      </c>
      <c r="AP173" s="840">
        <f>'(別紙5)給食・副食'!$AJ$38</f>
        <v>0</v>
      </c>
      <c r="AQ173" s="840">
        <f>'(別紙5)給食・副食'!$AJ$43</f>
        <v>0</v>
      </c>
      <c r="AR173" s="840">
        <f>'(別紙5)給食・副食'!$AJ$48</f>
        <v>0</v>
      </c>
      <c r="AS173" s="840">
        <f>'(別紙5)給食・副食'!$AJ$53</f>
        <v>0</v>
      </c>
      <c r="AT173" s="840">
        <f>'(別紙5)給食・副食'!$AJ$58</f>
        <v>0</v>
      </c>
      <c r="AU173" s="840">
        <f>'(別紙5)給食・副食'!$AJ$63</f>
        <v>0</v>
      </c>
      <c r="AV173" s="840">
        <f>'(別紙5)給食・副食'!$AJ$68</f>
        <v>0</v>
      </c>
    </row>
    <row r="174" spans="1:48" ht="15" hidden="1" customHeight="1">
      <c r="A174" s="1340"/>
      <c r="B174" s="1341"/>
      <c r="C174" s="1341"/>
      <c r="D174" s="1341"/>
      <c r="E174" s="1341"/>
      <c r="F174" s="1340"/>
      <c r="G174" s="1504" t="s">
        <v>954</v>
      </c>
      <c r="H174" s="1504"/>
      <c r="I174" s="1504"/>
      <c r="J174" s="1504"/>
      <c r="K174" s="1504"/>
      <c r="L174" s="1504"/>
      <c r="M174" s="1504"/>
      <c r="N174" s="1504"/>
      <c r="O174" s="1504"/>
      <c r="P174" s="1504"/>
      <c r="Q174" s="1504"/>
      <c r="R174" s="1504"/>
      <c r="S174" s="1504"/>
      <c r="T174" s="1504"/>
      <c r="U174" s="1562"/>
      <c r="V174" s="1563" t="str">
        <f>IFERROR(IF(HLOOKUP($I$10,$AK$172:$AV$174,3,FALSE)=0,"",HLOOKUP($I$10,$AK$172:$AV$174,3,FALSE)),"")</f>
        <v/>
      </c>
      <c r="W174" s="1564"/>
      <c r="X174" s="1564"/>
      <c r="Y174" s="1564"/>
      <c r="Z174" s="1565"/>
      <c r="AA174" s="1571"/>
      <c r="AB174" s="1572"/>
      <c r="AC174" s="1572"/>
      <c r="AD174" s="1573"/>
      <c r="AE174" s="715"/>
      <c r="AF174" s="715"/>
      <c r="AG174" s="715"/>
      <c r="AI174" s="185"/>
      <c r="AJ174" s="840" t="s">
        <v>947</v>
      </c>
      <c r="AK174" s="840">
        <f>'(別紙5)給食・副食'!$C$11</f>
        <v>0</v>
      </c>
      <c r="AL174" s="840">
        <f>'(別紙5)給食・副食'!$C$16</f>
        <v>0</v>
      </c>
      <c r="AM174" s="840">
        <f>'(別紙5)給食・副食'!$C$21</f>
        <v>0</v>
      </c>
      <c r="AN174" s="840">
        <f>'(別紙5)給食・副食'!$C$26</f>
        <v>0</v>
      </c>
      <c r="AO174" s="840">
        <f>'(別紙5)給食・副食'!$C$31</f>
        <v>0</v>
      </c>
      <c r="AP174" s="840">
        <f>'(別紙5)給食・副食'!$C$36</f>
        <v>0</v>
      </c>
      <c r="AQ174" s="840">
        <f>'(別紙5)給食・副食'!$C$41</f>
        <v>0</v>
      </c>
      <c r="AR174" s="840">
        <f>'(別紙5)給食・副食'!$C$46</f>
        <v>0</v>
      </c>
      <c r="AS174" s="840">
        <f>'(別紙5)給食・副食'!$C$51</f>
        <v>0</v>
      </c>
      <c r="AT174" s="840">
        <f>'(別紙5)給食・副食'!$C$56</f>
        <v>0</v>
      </c>
      <c r="AU174" s="840">
        <f>'(別紙5)給食・副食'!$C$61</f>
        <v>0</v>
      </c>
      <c r="AV174" s="840">
        <f>'(別紙5)給食・副食'!$C$66</f>
        <v>0</v>
      </c>
    </row>
    <row r="175" spans="1:48" ht="15" customHeight="1">
      <c r="A175" s="1310" t="s">
        <v>67</v>
      </c>
      <c r="B175" s="1310"/>
      <c r="C175" s="1310"/>
      <c r="D175" s="1310"/>
      <c r="E175" s="1310"/>
      <c r="F175" s="1567" t="s">
        <v>949</v>
      </c>
      <c r="G175" s="1567"/>
      <c r="H175" s="1567"/>
      <c r="I175" s="1567"/>
      <c r="J175" s="1567"/>
      <c r="K175" s="1567"/>
      <c r="L175" s="1567"/>
      <c r="M175" s="1567"/>
      <c r="N175" s="1567"/>
      <c r="O175" s="1567"/>
      <c r="P175" s="1567"/>
      <c r="Q175" s="1567"/>
      <c r="R175" s="1567"/>
      <c r="S175" s="1567"/>
      <c r="T175" s="1567"/>
      <c r="U175" s="1567"/>
      <c r="V175" s="1567"/>
      <c r="W175" s="1567"/>
      <c r="X175" s="1567"/>
      <c r="Y175" s="1567"/>
      <c r="Z175" s="1567"/>
      <c r="AA175" s="1567"/>
      <c r="AB175" s="1567"/>
      <c r="AC175" s="1567"/>
      <c r="AD175" s="1567"/>
      <c r="AE175" s="715"/>
      <c r="AF175" s="715"/>
      <c r="AG175" s="715"/>
      <c r="AI175" s="938"/>
    </row>
    <row r="176" spans="1:48" ht="24.95" hidden="1" customHeight="1">
      <c r="A176" s="1389" t="s">
        <v>955</v>
      </c>
      <c r="B176" s="1389"/>
      <c r="C176" s="1389"/>
      <c r="D176" s="1389"/>
      <c r="E176" s="1389"/>
      <c r="F176" s="1389"/>
      <c r="G176" s="1389"/>
      <c r="H176" s="1389"/>
      <c r="I176" s="1389"/>
      <c r="J176" s="1389"/>
      <c r="K176" s="1389"/>
      <c r="L176" s="1389"/>
      <c r="M176" s="1389"/>
      <c r="N176" s="1389"/>
      <c r="O176" s="1389"/>
      <c r="P176" s="1389"/>
      <c r="Q176" s="1389"/>
      <c r="R176" s="1389"/>
      <c r="S176" s="1389"/>
      <c r="T176" s="1389"/>
      <c r="U176" s="1389"/>
      <c r="V176" s="1389"/>
      <c r="W176" s="1389"/>
      <c r="X176" s="1389"/>
      <c r="Y176" s="1389"/>
      <c r="Z176" s="1389"/>
      <c r="AA176" s="1389"/>
      <c r="AB176" s="1389"/>
      <c r="AC176" s="1389"/>
      <c r="AD176" s="1389"/>
      <c r="AE176" s="1389"/>
      <c r="AF176" s="1389"/>
      <c r="AG176" s="1389"/>
      <c r="AI176" s="938"/>
    </row>
    <row r="177" spans="1:39" ht="39.950000000000003" customHeight="1">
      <c r="A177" s="1389" t="s">
        <v>1099</v>
      </c>
      <c r="B177" s="1389"/>
      <c r="C177" s="1389"/>
      <c r="D177" s="1389"/>
      <c r="E177" s="1389"/>
      <c r="F177" s="1389"/>
      <c r="G177" s="1389"/>
      <c r="H177" s="1389"/>
      <c r="I177" s="1389"/>
      <c r="J177" s="1389"/>
      <c r="K177" s="1389"/>
      <c r="L177" s="1389"/>
      <c r="M177" s="1389"/>
      <c r="N177" s="1389"/>
      <c r="O177" s="1389"/>
      <c r="P177" s="1389"/>
      <c r="Q177" s="1389"/>
      <c r="R177" s="1389"/>
      <c r="S177" s="1389"/>
      <c r="T177" s="1389"/>
      <c r="U177" s="1389"/>
      <c r="V177" s="1389"/>
      <c r="W177" s="1389"/>
      <c r="X177" s="1389"/>
      <c r="Y177" s="1389"/>
      <c r="Z177" s="1389"/>
      <c r="AA177" s="1389"/>
      <c r="AB177" s="1389"/>
      <c r="AC177" s="1389"/>
      <c r="AD177" s="1389"/>
      <c r="AE177" s="1389"/>
      <c r="AF177" s="1389"/>
      <c r="AG177" s="1389"/>
      <c r="AI177" s="938"/>
    </row>
    <row r="178" spans="1:39" s="99" customFormat="1" ht="15" customHeight="1">
      <c r="A178" s="1566" t="s">
        <v>1100</v>
      </c>
      <c r="B178" s="1566"/>
      <c r="C178" s="1566"/>
      <c r="D178" s="1566"/>
      <c r="E178" s="1566"/>
      <c r="F178" s="1566"/>
      <c r="G178" s="1566"/>
      <c r="H178" s="1566"/>
      <c r="I178" s="1566"/>
      <c r="J178" s="1566"/>
      <c r="K178" s="1566"/>
      <c r="L178" s="1566"/>
      <c r="M178" s="1566"/>
      <c r="N178" s="1566"/>
      <c r="O178" s="1566"/>
      <c r="P178" s="1566"/>
      <c r="Q178" s="1566"/>
      <c r="R178" s="1566"/>
      <c r="S178" s="1566"/>
      <c r="T178" s="1566"/>
      <c r="U178" s="1566"/>
      <c r="V178" s="1566"/>
      <c r="W178" s="1566"/>
      <c r="X178" s="1566"/>
      <c r="Y178" s="1566"/>
      <c r="Z178" s="1566"/>
      <c r="AA178" s="1566"/>
      <c r="AB178" s="1566"/>
      <c r="AC178" s="1566"/>
      <c r="AD178" s="1566"/>
      <c r="AE178" s="1566"/>
      <c r="AF178" s="1566"/>
      <c r="AG178" s="1566"/>
      <c r="AH178" s="87"/>
      <c r="AI178" s="938"/>
      <c r="AJ178" s="87"/>
      <c r="AK178" s="87"/>
      <c r="AL178" s="87"/>
      <c r="AM178" s="87"/>
    </row>
    <row r="179" spans="1:39" s="99" customFormat="1" ht="15" customHeight="1">
      <c r="A179" s="1689" t="s">
        <v>1101</v>
      </c>
      <c r="B179" s="1689"/>
      <c r="C179" s="1689"/>
      <c r="D179" s="1689"/>
      <c r="E179" s="1689"/>
      <c r="F179" s="1689"/>
      <c r="G179" s="1689"/>
      <c r="H179" s="1689"/>
      <c r="I179" s="1689"/>
      <c r="J179" s="1689"/>
      <c r="K179" s="1689"/>
      <c r="L179" s="1689"/>
      <c r="M179" s="1689"/>
      <c r="N179" s="1689"/>
      <c r="O179" s="1689"/>
      <c r="P179" s="1689"/>
      <c r="Q179" s="1689"/>
      <c r="R179" s="1689"/>
      <c r="S179" s="1689"/>
      <c r="T179" s="1689"/>
      <c r="U179" s="1689"/>
      <c r="V179" s="1689"/>
      <c r="W179" s="1689"/>
      <c r="X179" s="1689"/>
      <c r="Y179" s="1689"/>
      <c r="Z179" s="1689"/>
      <c r="AA179" s="1689"/>
      <c r="AB179" s="1689"/>
      <c r="AC179" s="1689"/>
      <c r="AD179" s="1689"/>
      <c r="AE179" s="1689"/>
      <c r="AF179" s="1689"/>
      <c r="AG179" s="1689"/>
      <c r="AH179" s="87"/>
      <c r="AI179" s="938"/>
      <c r="AJ179" s="87"/>
      <c r="AK179" s="87"/>
      <c r="AL179" s="87"/>
      <c r="AM179" s="87"/>
    </row>
    <row r="180" spans="1:39" s="99" customFormat="1" ht="15" customHeight="1">
      <c r="A180" s="1542" t="s">
        <v>1102</v>
      </c>
      <c r="B180" s="1542"/>
      <c r="C180" s="1542"/>
      <c r="D180" s="1542"/>
      <c r="E180" s="1542"/>
      <c r="F180" s="1542"/>
      <c r="G180" s="1542"/>
      <c r="H180" s="1542"/>
      <c r="I180" s="1542"/>
      <c r="J180" s="1542"/>
      <c r="K180" s="1542"/>
      <c r="L180" s="1542"/>
      <c r="M180" s="1542"/>
      <c r="N180" s="1542"/>
      <c r="O180" s="1542"/>
      <c r="P180" s="1542"/>
      <c r="Q180" s="1542"/>
      <c r="R180" s="1542"/>
      <c r="S180" s="1542"/>
      <c r="T180" s="1542"/>
      <c r="U180" s="1542"/>
      <c r="V180" s="1542"/>
      <c r="W180" s="1542"/>
      <c r="X180" s="1542"/>
      <c r="Y180" s="1542"/>
      <c r="Z180" s="1542"/>
      <c r="AA180" s="1542"/>
      <c r="AB180" s="1542"/>
      <c r="AC180" s="1542"/>
      <c r="AD180" s="1542"/>
      <c r="AE180" s="1542"/>
      <c r="AF180" s="1542"/>
      <c r="AG180" s="1542"/>
      <c r="AH180" s="87"/>
      <c r="AI180" s="938"/>
      <c r="AJ180" s="87"/>
      <c r="AK180" s="87"/>
      <c r="AL180" s="87"/>
      <c r="AM180" s="87"/>
    </row>
    <row r="181" spans="1:39" s="99" customFormat="1" ht="15" customHeight="1">
      <c r="A181" s="1542"/>
      <c r="B181" s="1542"/>
      <c r="C181" s="1542"/>
      <c r="D181" s="1542"/>
      <c r="E181" s="1542"/>
      <c r="F181" s="1542"/>
      <c r="G181" s="1542"/>
      <c r="H181" s="1542"/>
      <c r="I181" s="1542"/>
      <c r="J181" s="1542"/>
      <c r="K181" s="1542"/>
      <c r="L181" s="1542"/>
      <c r="M181" s="1542"/>
      <c r="N181" s="1542"/>
      <c r="O181" s="1542"/>
      <c r="P181" s="1542"/>
      <c r="Q181" s="1542"/>
      <c r="R181" s="1542"/>
      <c r="S181" s="1542"/>
      <c r="T181" s="1542"/>
      <c r="U181" s="1542"/>
      <c r="V181" s="1542"/>
      <c r="W181" s="1542"/>
      <c r="X181" s="1542"/>
      <c r="Y181" s="1542"/>
      <c r="Z181" s="1542"/>
      <c r="AA181" s="1542"/>
      <c r="AB181" s="1542"/>
      <c r="AC181" s="1542"/>
      <c r="AD181" s="1542"/>
      <c r="AE181" s="1542"/>
      <c r="AF181" s="1542"/>
      <c r="AG181" s="1542"/>
      <c r="AH181" s="87"/>
      <c r="AI181" s="938"/>
      <c r="AJ181" s="87"/>
      <c r="AK181" s="87"/>
      <c r="AL181" s="87"/>
      <c r="AM181" s="87"/>
    </row>
    <row r="182" spans="1:39" s="99" customFormat="1" ht="15" customHeight="1" thickBot="1">
      <c r="A182" s="965"/>
      <c r="B182" s="965"/>
      <c r="C182" s="965"/>
      <c r="D182" s="965"/>
      <c r="E182" s="965"/>
      <c r="F182" s="965"/>
      <c r="G182" s="965"/>
      <c r="H182" s="965"/>
      <c r="I182" s="965"/>
      <c r="J182" s="965"/>
      <c r="K182" s="965"/>
      <c r="L182" s="965"/>
      <c r="M182" s="965"/>
      <c r="N182" s="965"/>
      <c r="O182" s="965"/>
      <c r="P182" s="965"/>
      <c r="Q182" s="965"/>
      <c r="R182" s="965"/>
      <c r="S182" s="965"/>
      <c r="T182" s="965"/>
      <c r="U182" s="965"/>
      <c r="V182" s="965"/>
      <c r="W182" s="965"/>
      <c r="X182" s="965"/>
      <c r="Y182" s="965"/>
      <c r="Z182" s="965"/>
      <c r="AA182" s="965"/>
      <c r="AB182" s="965"/>
      <c r="AC182" s="965"/>
      <c r="AD182" s="965"/>
      <c r="AE182" s="707"/>
      <c r="AF182" s="707"/>
      <c r="AG182" s="707"/>
      <c r="AH182" s="87"/>
      <c r="AI182" s="938"/>
      <c r="AJ182" s="87"/>
      <c r="AK182" s="87"/>
      <c r="AL182" s="87"/>
      <c r="AM182" s="87"/>
    </row>
    <row r="183" spans="1:39" s="99" customFormat="1" ht="15" customHeight="1" thickBot="1">
      <c r="A183" s="1695" t="s">
        <v>1128</v>
      </c>
      <c r="B183" s="1695"/>
      <c r="C183" s="1695"/>
      <c r="D183" s="1695"/>
      <c r="E183" s="1695"/>
      <c r="F183" s="1645"/>
      <c r="G183" s="1645"/>
      <c r="H183" s="1645"/>
      <c r="I183" s="1645"/>
      <c r="J183" s="1311" t="str">
        <f>IFERROR(IF(F184=0,"×",F184),"エラー")</f>
        <v>×</v>
      </c>
      <c r="K183" s="1312"/>
      <c r="L183" s="1312"/>
      <c r="M183" s="1312"/>
      <c r="N183" s="1313"/>
      <c r="O183" s="1427" t="s">
        <v>167</v>
      </c>
      <c r="P183" s="1277"/>
      <c r="Q183" s="1277"/>
      <c r="R183" s="707"/>
      <c r="S183" s="707"/>
      <c r="T183" s="707"/>
      <c r="U183" s="707"/>
      <c r="V183" s="715"/>
      <c r="W183" s="715"/>
      <c r="X183" s="715"/>
      <c r="Y183" s="715"/>
      <c r="Z183" s="715"/>
      <c r="AA183" s="715"/>
      <c r="AB183" s="715"/>
      <c r="AC183" s="715"/>
      <c r="AD183" s="715"/>
      <c r="AE183" s="707"/>
      <c r="AF183" s="707"/>
      <c r="AG183" s="707"/>
      <c r="AH183" s="87"/>
      <c r="AI183" s="938"/>
      <c r="AJ183" s="87"/>
      <c r="AK183" s="87"/>
      <c r="AL183" s="87"/>
      <c r="AM183" s="87"/>
    </row>
    <row r="184" spans="1:39" s="99" customFormat="1" ht="15" customHeight="1">
      <c r="A184" s="1334" t="s">
        <v>186</v>
      </c>
      <c r="B184" s="1335"/>
      <c r="C184" s="1335"/>
      <c r="D184" s="1335"/>
      <c r="E184" s="1336"/>
      <c r="F184" s="1334">
        <f>【様式５】職員数算出表!O36</f>
        <v>0</v>
      </c>
      <c r="G184" s="1335"/>
      <c r="H184" s="1335"/>
      <c r="I184" s="1335"/>
      <c r="J184" s="1318"/>
      <c r="K184" s="1575"/>
      <c r="L184" s="707"/>
      <c r="M184" s="707"/>
      <c r="N184" s="707"/>
      <c r="O184" s="707"/>
      <c r="P184" s="707"/>
      <c r="Q184" s="707"/>
      <c r="R184" s="707"/>
      <c r="S184" s="707"/>
      <c r="T184" s="707"/>
      <c r="U184" s="707"/>
      <c r="V184" s="935"/>
      <c r="W184" s="935"/>
      <c r="X184" s="935"/>
      <c r="Y184" s="935"/>
      <c r="Z184" s="935"/>
      <c r="AA184" s="935"/>
      <c r="AB184" s="935"/>
      <c r="AC184" s="935"/>
      <c r="AD184" s="935"/>
      <c r="AE184" s="707"/>
      <c r="AF184" s="707"/>
      <c r="AG184" s="707"/>
      <c r="AH184" s="87"/>
      <c r="AI184" s="938"/>
      <c r="AJ184" s="87"/>
      <c r="AK184" s="87"/>
      <c r="AL184" s="87"/>
      <c r="AM184" s="87"/>
    </row>
    <row r="185" spans="1:39" s="99" customFormat="1" ht="15" customHeight="1">
      <c r="A185" s="1310" t="s">
        <v>67</v>
      </c>
      <c r="B185" s="1310"/>
      <c r="C185" s="1310"/>
      <c r="D185" s="1310"/>
      <c r="E185" s="1310"/>
      <c r="F185" s="1348" t="s">
        <v>417</v>
      </c>
      <c r="G185" s="1349"/>
      <c r="H185" s="1349"/>
      <c r="I185" s="1349"/>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50"/>
      <c r="AE185" s="707"/>
      <c r="AF185" s="707"/>
      <c r="AG185" s="707"/>
      <c r="AH185" s="87"/>
      <c r="AI185" s="938"/>
      <c r="AJ185" s="87"/>
      <c r="AK185" s="87"/>
      <c r="AL185" s="87"/>
      <c r="AM185" s="87"/>
    </row>
    <row r="186" spans="1:39" ht="15" customHeight="1" thickBot="1">
      <c r="A186" s="707"/>
      <c r="B186" s="707"/>
      <c r="C186" s="707"/>
      <c r="D186" s="707"/>
      <c r="E186" s="707"/>
      <c r="F186" s="707"/>
      <c r="G186" s="707"/>
      <c r="H186" s="707"/>
      <c r="I186" s="707"/>
      <c r="J186" s="707"/>
      <c r="K186" s="707"/>
      <c r="L186" s="707"/>
      <c r="M186" s="707"/>
      <c r="N186" s="707"/>
      <c r="O186" s="707"/>
      <c r="P186" s="707"/>
      <c r="Q186" s="707"/>
      <c r="R186" s="707"/>
      <c r="S186" s="707"/>
      <c r="T186" s="707"/>
      <c r="U186" s="707"/>
      <c r="V186" s="707"/>
      <c r="W186" s="707"/>
      <c r="X186" s="707"/>
      <c r="Y186" s="707"/>
      <c r="Z186" s="707"/>
      <c r="AA186" s="707"/>
      <c r="AB186" s="707"/>
      <c r="AC186" s="707"/>
      <c r="AD186" s="707"/>
      <c r="AE186" s="707"/>
      <c r="AF186" s="707"/>
      <c r="AG186" s="707"/>
      <c r="AI186" s="938"/>
    </row>
    <row r="187" spans="1:39" ht="15" customHeight="1" thickBot="1">
      <c r="A187" s="1645" t="s">
        <v>1129</v>
      </c>
      <c r="B187" s="1645"/>
      <c r="C187" s="1645"/>
      <c r="D187" s="1645"/>
      <c r="E187" s="1645"/>
      <c r="F187" s="1645"/>
      <c r="G187" s="1645"/>
      <c r="H187" s="1645"/>
      <c r="I187" s="1645"/>
      <c r="J187" s="1311" t="str">
        <f>IF(OR(AJ195,AJ198),"未入力エラー",IF(AI207,"遡及減算",IF(AND(AI202,DATE(D10,I10,1)&gt;=AI203),"減算解除",IF(AI187,"○","×"))))</f>
        <v>未入力エラー</v>
      </c>
      <c r="K187" s="1312"/>
      <c r="L187" s="1312"/>
      <c r="M187" s="1312"/>
      <c r="N187" s="1313"/>
      <c r="O187" s="1427" t="s">
        <v>167</v>
      </c>
      <c r="P187" s="1277"/>
      <c r="Q187" s="1277"/>
      <c r="R187" s="707"/>
      <c r="S187" s="707"/>
      <c r="T187" s="707"/>
      <c r="U187" s="707"/>
      <c r="V187" s="715"/>
      <c r="W187" s="715"/>
      <c r="X187" s="715"/>
      <c r="Y187" s="715"/>
      <c r="Z187" s="715"/>
      <c r="AA187" s="715"/>
      <c r="AB187" s="715"/>
      <c r="AC187" s="715"/>
      <c r="AD187" s="715"/>
      <c r="AE187" s="715"/>
      <c r="AF187" s="745"/>
      <c r="AG187" s="715"/>
      <c r="AI187" s="192" t="b">
        <f>AND(AI190,AI191)</f>
        <v>0</v>
      </c>
      <c r="AJ187" s="191"/>
      <c r="AK187" s="191"/>
      <c r="AL187" s="191"/>
      <c r="AM187" s="191"/>
    </row>
    <row r="188" spans="1:39" ht="15" customHeight="1">
      <c r="A188" s="1541" t="s">
        <v>189</v>
      </c>
      <c r="B188" s="1541"/>
      <c r="C188" s="1541"/>
      <c r="D188" s="1541"/>
      <c r="E188" s="1541"/>
      <c r="F188" s="1541"/>
      <c r="G188" s="1541"/>
      <c r="H188" s="1541"/>
      <c r="I188" s="1541"/>
      <c r="J188" s="1541"/>
      <c r="K188" s="1541"/>
      <c r="L188" s="1541"/>
      <c r="M188" s="1541"/>
      <c r="N188" s="1541"/>
      <c r="O188" s="1541"/>
      <c r="P188" s="1541"/>
      <c r="Q188" s="1541"/>
      <c r="R188" s="1541"/>
      <c r="S188" s="1541"/>
      <c r="T188" s="1541"/>
      <c r="U188" s="1541"/>
      <c r="V188" s="1541"/>
      <c r="W188" s="1541"/>
      <c r="X188" s="1541"/>
      <c r="Y188" s="1541"/>
      <c r="Z188" s="1541"/>
      <c r="AA188" s="1541"/>
      <c r="AB188" s="1541"/>
      <c r="AC188" s="1541"/>
      <c r="AD188" s="1541"/>
      <c r="AE188" s="1541"/>
      <c r="AF188" s="1541"/>
      <c r="AG188" s="1541"/>
      <c r="AI188" s="938"/>
    </row>
    <row r="189" spans="1:39" ht="15" customHeight="1">
      <c r="A189" s="1556" t="s">
        <v>310</v>
      </c>
      <c r="B189" s="1557"/>
      <c r="C189" s="1557"/>
      <c r="D189" s="1557"/>
      <c r="E189" s="1558"/>
      <c r="F189" s="1355" t="s">
        <v>169</v>
      </c>
      <c r="G189" s="1355"/>
      <c r="H189" s="1355"/>
      <c r="I189" s="1355"/>
      <c r="J189" s="1355"/>
      <c r="K189" s="1355"/>
      <c r="L189" s="1355"/>
      <c r="M189" s="1355"/>
      <c r="N189" s="1355"/>
      <c r="O189" s="1355"/>
      <c r="P189" s="1355"/>
      <c r="Q189" s="1355"/>
      <c r="R189" s="1355"/>
      <c r="S189" s="1355"/>
      <c r="T189" s="1355"/>
      <c r="U189" s="1355"/>
      <c r="V189" s="1355"/>
      <c r="W189" s="1355"/>
      <c r="X189" s="1355"/>
      <c r="Y189" s="1355"/>
      <c r="Z189" s="1355"/>
      <c r="AA189" s="1355"/>
      <c r="AB189" s="1355"/>
      <c r="AC189" s="1356"/>
      <c r="AD189" s="1310" t="s">
        <v>170</v>
      </c>
      <c r="AE189" s="1310"/>
      <c r="AF189" s="1310"/>
      <c r="AG189" s="1310"/>
      <c r="AI189" s="938"/>
    </row>
    <row r="190" spans="1:39" ht="15" customHeight="1">
      <c r="A190" s="1557"/>
      <c r="B190" s="1557"/>
      <c r="C190" s="1557"/>
      <c r="D190" s="1557"/>
      <c r="E190" s="1557"/>
      <c r="F190" s="947">
        <v>1</v>
      </c>
      <c r="G190" s="1428" t="s">
        <v>534</v>
      </c>
      <c r="H190" s="1428"/>
      <c r="I190" s="1428"/>
      <c r="J190" s="1428"/>
      <c r="K190" s="1428"/>
      <c r="L190" s="1428"/>
      <c r="M190" s="1428"/>
      <c r="N190" s="1428"/>
      <c r="O190" s="1428"/>
      <c r="P190" s="1428"/>
      <c r="Q190" s="1428"/>
      <c r="R190" s="1428"/>
      <c r="S190" s="1428"/>
      <c r="T190" s="1428"/>
      <c r="U190" s="1428"/>
      <c r="V190" s="1428"/>
      <c r="W190" s="1428"/>
      <c r="X190" s="1428"/>
      <c r="Y190" s="1428"/>
      <c r="Z190" s="1428"/>
      <c r="AA190" s="1428"/>
      <c r="AB190" s="1428"/>
      <c r="AC190" s="1429"/>
      <c r="AD190" s="1294" t="str">
        <f>IF(AND(DATE($AK$2,4,1)&gt;$AI$193,AND(AJ196,AJ199)),"○","×")</f>
        <v>×</v>
      </c>
      <c r="AE190" s="1295"/>
      <c r="AF190" s="1295"/>
      <c r="AG190" s="1296"/>
      <c r="AI190" s="312" t="b">
        <f>AD190="○"</f>
        <v>0</v>
      </c>
    </row>
    <row r="191" spans="1:39" s="100" customFormat="1" ht="15" customHeight="1">
      <c r="A191" s="1557"/>
      <c r="B191" s="1557"/>
      <c r="C191" s="1557"/>
      <c r="D191" s="1557"/>
      <c r="E191" s="1557"/>
      <c r="F191" s="947">
        <v>2</v>
      </c>
      <c r="G191" s="1428" t="s">
        <v>533</v>
      </c>
      <c r="H191" s="1428"/>
      <c r="I191" s="1428"/>
      <c r="J191" s="1428"/>
      <c r="K191" s="1428"/>
      <c r="L191" s="1428"/>
      <c r="M191" s="1428"/>
      <c r="N191" s="1428"/>
      <c r="O191" s="1428"/>
      <c r="P191" s="1428"/>
      <c r="Q191" s="1428"/>
      <c r="R191" s="1428"/>
      <c r="S191" s="1428"/>
      <c r="T191" s="1428"/>
      <c r="U191" s="1428"/>
      <c r="V191" s="1428"/>
      <c r="W191" s="1428"/>
      <c r="X191" s="1428"/>
      <c r="Y191" s="1428"/>
      <c r="Z191" s="1428"/>
      <c r="AA191" s="1428"/>
      <c r="AB191" s="1428"/>
      <c r="AC191" s="1429"/>
      <c r="AD191" s="1294" t="str">
        <f>IF(AND(AI195,AI198),"○","×")</f>
        <v>×</v>
      </c>
      <c r="AE191" s="1295"/>
      <c r="AF191" s="1295"/>
      <c r="AG191" s="1296"/>
      <c r="AH191" s="87"/>
      <c r="AI191" s="312" t="b">
        <f>AD191="○"</f>
        <v>0</v>
      </c>
      <c r="AJ191" s="87"/>
      <c r="AK191" s="87"/>
      <c r="AL191" s="87"/>
      <c r="AM191" s="87"/>
    </row>
    <row r="192" spans="1:39" ht="15" customHeight="1">
      <c r="A192" s="1542" t="s">
        <v>291</v>
      </c>
      <c r="B192" s="1542"/>
      <c r="C192" s="1542"/>
      <c r="D192" s="1542"/>
      <c r="E192" s="1542"/>
      <c r="F192" s="1542"/>
      <c r="G192" s="1542"/>
      <c r="H192" s="1542"/>
      <c r="I192" s="1542"/>
      <c r="J192" s="1542"/>
      <c r="K192" s="1542"/>
      <c r="L192" s="1542"/>
      <c r="M192" s="1542"/>
      <c r="N192" s="1542"/>
      <c r="O192" s="1542"/>
      <c r="P192" s="1542"/>
      <c r="Q192" s="1542"/>
      <c r="R192" s="1542"/>
      <c r="S192" s="1542"/>
      <c r="T192" s="1542"/>
      <c r="U192" s="1542"/>
      <c r="V192" s="1542"/>
      <c r="W192" s="1542"/>
      <c r="X192" s="1542"/>
      <c r="Y192" s="1542"/>
      <c r="Z192" s="1542"/>
      <c r="AA192" s="1542"/>
      <c r="AB192" s="1542"/>
      <c r="AC192" s="1542"/>
      <c r="AD192" s="1542"/>
      <c r="AE192" s="1542"/>
      <c r="AF192" s="1542"/>
      <c r="AG192" s="1542"/>
      <c r="AH192" s="100"/>
      <c r="AI192" s="80"/>
      <c r="AJ192" s="100"/>
      <c r="AK192" s="100"/>
      <c r="AL192" s="100"/>
      <c r="AM192" s="100"/>
    </row>
    <row r="193" spans="1:65" s="100" customFormat="1" ht="15" customHeight="1">
      <c r="A193" s="1540" t="s">
        <v>303</v>
      </c>
      <c r="B193" s="1537"/>
      <c r="C193" s="1537"/>
      <c r="D193" s="1537"/>
      <c r="E193" s="1539"/>
      <c r="F193" s="1554"/>
      <c r="G193" s="1555"/>
      <c r="H193" s="1555"/>
      <c r="I193" s="1555"/>
      <c r="J193" s="1537" t="s">
        <v>187</v>
      </c>
      <c r="K193" s="1537"/>
      <c r="L193" s="1538"/>
      <c r="M193" s="1538"/>
      <c r="N193" s="1537" t="s">
        <v>188</v>
      </c>
      <c r="O193" s="1539"/>
      <c r="P193" s="746" t="s">
        <v>190</v>
      </c>
      <c r="Q193" s="949"/>
      <c r="R193" s="949"/>
      <c r="S193" s="949"/>
      <c r="T193" s="949"/>
      <c r="U193" s="949"/>
      <c r="V193" s="949"/>
      <c r="W193" s="949"/>
      <c r="X193" s="949"/>
      <c r="Y193" s="949"/>
      <c r="Z193" s="949"/>
      <c r="AA193" s="949"/>
      <c r="AB193" s="949"/>
      <c r="AC193" s="949"/>
      <c r="AD193" s="949"/>
      <c r="AE193" s="949"/>
      <c r="AF193" s="949"/>
      <c r="AG193" s="949"/>
      <c r="AH193" s="87"/>
      <c r="AI193" s="85">
        <f>IF(OR(F193=0,L193=0,ISERROR(DATE(F193,L193,1))),DATE(AK2-2,4,1),DATE(F193,L193,1))</f>
        <v>45017</v>
      </c>
      <c r="AJ193" s="87"/>
      <c r="AK193" s="87"/>
      <c r="AL193" s="87"/>
      <c r="AM193" s="87"/>
    </row>
    <row r="194" spans="1:65" ht="15" customHeight="1" thickBot="1">
      <c r="A194" s="1549">
        <f>AK2-2</f>
        <v>2023</v>
      </c>
      <c r="B194" s="1549"/>
      <c r="C194" s="1549"/>
      <c r="D194" s="1549"/>
      <c r="E194" s="1549"/>
      <c r="F194" s="1551">
        <f>DATE($A194,AL$194,1)</f>
        <v>45017</v>
      </c>
      <c r="G194" s="1550"/>
      <c r="H194" s="1550">
        <f>DATE($A194,AN$194,1)</f>
        <v>45047</v>
      </c>
      <c r="I194" s="1550"/>
      <c r="J194" s="1550">
        <f>DATE($A194,AP$194,1)</f>
        <v>45078</v>
      </c>
      <c r="K194" s="1550"/>
      <c r="L194" s="1550">
        <f>DATE($A194,AR$194,1)</f>
        <v>45108</v>
      </c>
      <c r="M194" s="1550"/>
      <c r="N194" s="1550">
        <f>DATE($A194,AT$194,1)</f>
        <v>45139</v>
      </c>
      <c r="O194" s="1550"/>
      <c r="P194" s="1550">
        <f>DATE($A194,AV$194,1)</f>
        <v>45170</v>
      </c>
      <c r="Q194" s="1550"/>
      <c r="R194" s="1550">
        <f>DATE($A194,AX$194,1)</f>
        <v>45200</v>
      </c>
      <c r="S194" s="1550"/>
      <c r="T194" s="1550">
        <f>DATE($A194,AZ$194,1)</f>
        <v>45231</v>
      </c>
      <c r="U194" s="1550"/>
      <c r="V194" s="1550">
        <f>DATE($A194,BB$194,1)</f>
        <v>45261</v>
      </c>
      <c r="W194" s="1550"/>
      <c r="X194" s="1550">
        <f>DATE($A194+1,BD$194,1)</f>
        <v>45292</v>
      </c>
      <c r="Y194" s="1550"/>
      <c r="Z194" s="1550">
        <f>DATE($A194+1,BF$194,1)</f>
        <v>45323</v>
      </c>
      <c r="AA194" s="1550"/>
      <c r="AB194" s="1550">
        <f>DATE($A194+1,BH$194,1)</f>
        <v>45352</v>
      </c>
      <c r="AC194" s="1622"/>
      <c r="AD194" s="1625" t="s">
        <v>1</v>
      </c>
      <c r="AE194" s="1625"/>
      <c r="AF194" s="1702" t="s">
        <v>82</v>
      </c>
      <c r="AG194" s="1702"/>
      <c r="AI194" s="938"/>
      <c r="AL194" s="1534">
        <v>4</v>
      </c>
      <c r="AM194" s="1534"/>
      <c r="AN194" s="1534">
        <v>5</v>
      </c>
      <c r="AO194" s="1534"/>
      <c r="AP194" s="1534">
        <v>6</v>
      </c>
      <c r="AQ194" s="1534"/>
      <c r="AR194" s="1534">
        <v>7</v>
      </c>
      <c r="AS194" s="1534"/>
      <c r="AT194" s="1534">
        <v>8</v>
      </c>
      <c r="AU194" s="1534"/>
      <c r="AV194" s="1534">
        <v>9</v>
      </c>
      <c r="AW194" s="1534"/>
      <c r="AX194" s="1534">
        <v>10</v>
      </c>
      <c r="AY194" s="1534"/>
      <c r="AZ194" s="1534">
        <v>11</v>
      </c>
      <c r="BA194" s="1534"/>
      <c r="BB194" s="1534">
        <v>12</v>
      </c>
      <c r="BC194" s="1534"/>
      <c r="BD194" s="1534">
        <v>1</v>
      </c>
      <c r="BE194" s="1534"/>
      <c r="BF194" s="1534">
        <v>2</v>
      </c>
      <c r="BG194" s="1534"/>
      <c r="BH194" s="1534">
        <v>3</v>
      </c>
      <c r="BI194" s="1534"/>
    </row>
    <row r="195" spans="1:65" ht="15" customHeight="1">
      <c r="A195" s="1437" t="s">
        <v>83</v>
      </c>
      <c r="B195" s="1438"/>
      <c r="C195" s="1438"/>
      <c r="D195" s="1438"/>
      <c r="E195" s="1578"/>
      <c r="F195" s="1611"/>
      <c r="G195" s="1552"/>
      <c r="H195" s="1552"/>
      <c r="I195" s="1552"/>
      <c r="J195" s="1552"/>
      <c r="K195" s="1552"/>
      <c r="L195" s="1552"/>
      <c r="M195" s="1552"/>
      <c r="N195" s="1552"/>
      <c r="O195" s="1552"/>
      <c r="P195" s="1552"/>
      <c r="Q195" s="1552"/>
      <c r="R195" s="1552"/>
      <c r="S195" s="1552"/>
      <c r="T195" s="1552"/>
      <c r="U195" s="1552"/>
      <c r="V195" s="1552"/>
      <c r="W195" s="1552"/>
      <c r="X195" s="1552"/>
      <c r="Y195" s="1552"/>
      <c r="Z195" s="1552"/>
      <c r="AA195" s="1552"/>
      <c r="AB195" s="1552"/>
      <c r="AC195" s="1579"/>
      <c r="AD195" s="1621">
        <f>SUM(AL195:BI195)</f>
        <v>0</v>
      </c>
      <c r="AE195" s="1621"/>
      <c r="AF195" s="1580">
        <f>IFERROR(ROUNDDOWN(AD195/AD196,2),0)</f>
        <v>0</v>
      </c>
      <c r="AG195" s="1581"/>
      <c r="AI195" s="1535" t="b">
        <f>AF195&gt;=120%</f>
        <v>0</v>
      </c>
      <c r="AJ195" s="156" t="b">
        <f>COUNTIF(AL195:BI195,"×")&gt;0</f>
        <v>1</v>
      </c>
      <c r="AK195" s="157" t="s">
        <v>562</v>
      </c>
      <c r="AL195" s="1532" t="str">
        <f>IF(F194&gt;=$AI$193,IF(F195="","×",F195),"△")</f>
        <v>×</v>
      </c>
      <c r="AM195" s="1533"/>
      <c r="AN195" s="1532" t="str">
        <f>IF(H194&gt;=$AI$193,IF(H195="","×",H195),"△")</f>
        <v>×</v>
      </c>
      <c r="AO195" s="1533"/>
      <c r="AP195" s="1532" t="str">
        <f>IF(J194&gt;=$AI$193,IF(J195="","×",J195),"△")</f>
        <v>×</v>
      </c>
      <c r="AQ195" s="1533"/>
      <c r="AR195" s="1532" t="str">
        <f>IF(L194&gt;=$AI$193,IF(L195="","×",L195),"△")</f>
        <v>×</v>
      </c>
      <c r="AS195" s="1533"/>
      <c r="AT195" s="1532" t="str">
        <f>IF(N194&gt;=$AI$193,IF(N195="","×",N195),"△")</f>
        <v>×</v>
      </c>
      <c r="AU195" s="1533"/>
      <c r="AV195" s="1532" t="str">
        <f>IF(P194&gt;=$AI$193,IF(P195="","×",P195),"△")</f>
        <v>×</v>
      </c>
      <c r="AW195" s="1533"/>
      <c r="AX195" s="1532" t="str">
        <f>IF(R194&gt;=$AI$193,IF(R195="","×",R195),"△")</f>
        <v>×</v>
      </c>
      <c r="AY195" s="1533"/>
      <c r="AZ195" s="1532" t="str">
        <f>IF(T194&gt;=$AI$193,IF(T195="","×",T195),"△")</f>
        <v>×</v>
      </c>
      <c r="BA195" s="1533"/>
      <c r="BB195" s="1532" t="str">
        <f>IF(V194&gt;=$AI$193,IF(V195="","×",V195),"△")</f>
        <v>×</v>
      </c>
      <c r="BC195" s="1533"/>
      <c r="BD195" s="1532" t="str">
        <f>IF(X194&gt;=$AI$193,IF(X195="","×",X195),"△")</f>
        <v>×</v>
      </c>
      <c r="BE195" s="1533"/>
      <c r="BF195" s="1532" t="str">
        <f>IF(Z194&gt;=$AI$193,IF(Z195="","×",Z195),"△")</f>
        <v>×</v>
      </c>
      <c r="BG195" s="1533"/>
      <c r="BH195" s="1532" t="str">
        <f>IF(AB194&gt;=$AI$193,IF(AB195="","×",AB195),"△")</f>
        <v>×</v>
      </c>
      <c r="BI195" s="1576"/>
      <c r="BJ195" s="1619"/>
      <c r="BK195" s="1620"/>
      <c r="BL195" s="155"/>
      <c r="BM195" s="155"/>
    </row>
    <row r="196" spans="1:65" s="100" customFormat="1" ht="15" customHeight="1" thickBot="1">
      <c r="A196" s="1597" t="s">
        <v>84</v>
      </c>
      <c r="B196" s="1597"/>
      <c r="C196" s="1597"/>
      <c r="D196" s="1597"/>
      <c r="E196" s="1597"/>
      <c r="F196" s="1553">
        <f>IF(F194&gt;=$AI$193,$D$14,"")</f>
        <v>0</v>
      </c>
      <c r="G196" s="1386"/>
      <c r="H196" s="1386">
        <f>IF(H194=$AI$193,+$D$14,F196)</f>
        <v>0</v>
      </c>
      <c r="I196" s="1386"/>
      <c r="J196" s="1386">
        <f>IF(J194=$AI$193,+$D$14,H196)</f>
        <v>0</v>
      </c>
      <c r="K196" s="1386"/>
      <c r="L196" s="1386">
        <f>IF(L194=$AI$193,+$D$14,J196)</f>
        <v>0</v>
      </c>
      <c r="M196" s="1386"/>
      <c r="N196" s="1386">
        <f>IF(N194=$AI$193,+$D$14,L196)</f>
        <v>0</v>
      </c>
      <c r="O196" s="1386"/>
      <c r="P196" s="1386">
        <f>IF(P194=$AI$193,+$D$14,N196)</f>
        <v>0</v>
      </c>
      <c r="Q196" s="1386"/>
      <c r="R196" s="1386">
        <f>IF(R194=$AI$193,+$D$14,P196)</f>
        <v>0</v>
      </c>
      <c r="S196" s="1386"/>
      <c r="T196" s="1386">
        <f>IF(T194=$AI$193,+$D$14,R196)</f>
        <v>0</v>
      </c>
      <c r="U196" s="1386"/>
      <c r="V196" s="1386">
        <f>IF(V194=$AI$193,+$D$14,T196)</f>
        <v>0</v>
      </c>
      <c r="W196" s="1386"/>
      <c r="X196" s="1386">
        <f>IF(X194=$AI$193,+$D$14,V196)</f>
        <v>0</v>
      </c>
      <c r="Y196" s="1386"/>
      <c r="Z196" s="1386">
        <f>IF(Z194=$AI$193,+$D$14,X196)</f>
        <v>0</v>
      </c>
      <c r="AA196" s="1386"/>
      <c r="AB196" s="1386">
        <f>IF(AB194=$AI$193,+$D$14,Z196)</f>
        <v>0</v>
      </c>
      <c r="AC196" s="1577"/>
      <c r="AD196" s="1626">
        <f>SUM(F196:AC196)</f>
        <v>0</v>
      </c>
      <c r="AE196" s="1626"/>
      <c r="AF196" s="1582"/>
      <c r="AG196" s="1583"/>
      <c r="AH196" s="87"/>
      <c r="AI196" s="1536"/>
      <c r="AJ196" s="188" t="b">
        <f>AND(COUNTIF(AL196:BI196,1)&gt;=1,COUNTIF(AL196:BI196,2)=0)</f>
        <v>0</v>
      </c>
      <c r="AK196" s="158" t="s">
        <v>497</v>
      </c>
      <c r="AL196" s="1372">
        <f>IF(OR(AL195="×",AL195="△"),0,IF(F195&gt;F196,1,2))</f>
        <v>0</v>
      </c>
      <c r="AM196" s="1373"/>
      <c r="AN196" s="1372">
        <f>IF(OR(AN195="×",AN195="△"),0,IF(H195&gt;H196,1,2))</f>
        <v>0</v>
      </c>
      <c r="AO196" s="1373"/>
      <c r="AP196" s="1372">
        <f>IF(OR(AP195="×",AP195="△"),0,IF(J195&gt;J196,1,2))</f>
        <v>0</v>
      </c>
      <c r="AQ196" s="1373"/>
      <c r="AR196" s="1372">
        <f>IF(OR(AR195="×",AR195="△"),0,IF(L195&gt;L196,1,2))</f>
        <v>0</v>
      </c>
      <c r="AS196" s="1373"/>
      <c r="AT196" s="1372">
        <f>IF(OR(AT195="×",AT195="△"),0,IF(N195&gt;N196,1,2))</f>
        <v>0</v>
      </c>
      <c r="AU196" s="1373"/>
      <c r="AV196" s="1372">
        <f>IF(OR(AV195="×",AV195="△"),0,IF(P195&gt;P196,1,2))</f>
        <v>0</v>
      </c>
      <c r="AW196" s="1373"/>
      <c r="AX196" s="1372">
        <f>IF(OR(AX195="×",AX195="△"),0,IF(R195&gt;R196,1,2))</f>
        <v>0</v>
      </c>
      <c r="AY196" s="1373"/>
      <c r="AZ196" s="1372">
        <f>IF(OR(AZ195="×",AZ195="△"),0,IF(T195&gt;T196,1,2))</f>
        <v>0</v>
      </c>
      <c r="BA196" s="1373"/>
      <c r="BB196" s="1372">
        <f>IF(OR(BB195="×",BB195="△"),0,IF(V195&gt;V196,1,2))</f>
        <v>0</v>
      </c>
      <c r="BC196" s="1373"/>
      <c r="BD196" s="1372">
        <f>IF(OR(BD195="×",BD195="△"),0,IF(X195&gt;X196,1,2))</f>
        <v>0</v>
      </c>
      <c r="BE196" s="1373"/>
      <c r="BF196" s="1372">
        <f>IF(OR(BF195="×",BF195="△"),0,IF(Z195&gt;Z196,1,2))</f>
        <v>0</v>
      </c>
      <c r="BG196" s="1373"/>
      <c r="BH196" s="1372">
        <f>IF(OR(BH195="×",BH195="△"),0,IF(AB195&gt;AB196,1,2))</f>
        <v>0</v>
      </c>
      <c r="BI196" s="1391"/>
      <c r="BJ196" s="1370"/>
      <c r="BK196" s="1371"/>
      <c r="BL196" s="107"/>
      <c r="BM196" s="107"/>
    </row>
    <row r="197" spans="1:65" ht="15" customHeight="1" thickBot="1">
      <c r="A197" s="1549">
        <f>AK2-1</f>
        <v>2024</v>
      </c>
      <c r="B197" s="1549"/>
      <c r="C197" s="1549"/>
      <c r="D197" s="1549"/>
      <c r="E197" s="1549"/>
      <c r="F197" s="1551">
        <f>DATE($A197,AL$194,1)</f>
        <v>45383</v>
      </c>
      <c r="G197" s="1550"/>
      <c r="H197" s="1550">
        <f>DATE($A197,AN$194,1)</f>
        <v>45413</v>
      </c>
      <c r="I197" s="1550"/>
      <c r="J197" s="1550">
        <f>DATE($A197,AP$194,1)</f>
        <v>45444</v>
      </c>
      <c r="K197" s="1550"/>
      <c r="L197" s="1550">
        <f>DATE($A197,AR$194,1)</f>
        <v>45474</v>
      </c>
      <c r="M197" s="1550"/>
      <c r="N197" s="1550">
        <f>DATE($A197,AT$194,1)</f>
        <v>45505</v>
      </c>
      <c r="O197" s="1550"/>
      <c r="P197" s="1550">
        <f>DATE($A197,AV$194,1)</f>
        <v>45536</v>
      </c>
      <c r="Q197" s="1550"/>
      <c r="R197" s="1550">
        <f>DATE($A197,AX$194,1)</f>
        <v>45566</v>
      </c>
      <c r="S197" s="1550"/>
      <c r="T197" s="1550">
        <f>DATE($A197,AZ$194,1)</f>
        <v>45597</v>
      </c>
      <c r="U197" s="1550"/>
      <c r="V197" s="1550">
        <f>DATE($A197,BB$194,1)</f>
        <v>45627</v>
      </c>
      <c r="W197" s="1550"/>
      <c r="X197" s="1550">
        <f>DATE($A197+1,BD$194,1)</f>
        <v>45658</v>
      </c>
      <c r="Y197" s="1550"/>
      <c r="Z197" s="1550">
        <f>DATE($A197+1,BF$194,1)</f>
        <v>45689</v>
      </c>
      <c r="AA197" s="1550"/>
      <c r="AB197" s="1550">
        <f>DATE($A197+1,BH$194,1)</f>
        <v>45717</v>
      </c>
      <c r="AC197" s="1622"/>
      <c r="AD197" s="1625" t="s">
        <v>1</v>
      </c>
      <c r="AE197" s="1625"/>
      <c r="AF197" s="1623" t="s">
        <v>82</v>
      </c>
      <c r="AG197" s="1624"/>
      <c r="AI197" s="938"/>
      <c r="BL197" s="73"/>
      <c r="BM197" s="73"/>
    </row>
    <row r="198" spans="1:65" ht="15" customHeight="1">
      <c r="A198" s="1437" t="s">
        <v>83</v>
      </c>
      <c r="B198" s="1438"/>
      <c r="C198" s="1438"/>
      <c r="D198" s="1438"/>
      <c r="E198" s="1578"/>
      <c r="F198" s="1611"/>
      <c r="G198" s="1552"/>
      <c r="H198" s="1552"/>
      <c r="I198" s="1552"/>
      <c r="J198" s="1552"/>
      <c r="K198" s="1552"/>
      <c r="L198" s="1552"/>
      <c r="M198" s="1552"/>
      <c r="N198" s="1552"/>
      <c r="O198" s="1552"/>
      <c r="P198" s="1552"/>
      <c r="Q198" s="1552"/>
      <c r="R198" s="1552"/>
      <c r="S198" s="1552"/>
      <c r="T198" s="1552"/>
      <c r="U198" s="1552"/>
      <c r="V198" s="1552"/>
      <c r="W198" s="1552"/>
      <c r="X198" s="1552"/>
      <c r="Y198" s="1552"/>
      <c r="Z198" s="1552"/>
      <c r="AA198" s="1552"/>
      <c r="AB198" s="1552"/>
      <c r="AC198" s="1579"/>
      <c r="AD198" s="1621">
        <f>SUM(AL198:BI198)</f>
        <v>0</v>
      </c>
      <c r="AE198" s="1621"/>
      <c r="AF198" s="1580">
        <f>IFERROR(ROUNDDOWN(AD198/AD199,2),0)</f>
        <v>0</v>
      </c>
      <c r="AG198" s="1581"/>
      <c r="AI198" s="1535" t="b">
        <f>AF198&gt;=120%</f>
        <v>0</v>
      </c>
      <c r="AJ198" s="156" t="b">
        <f>COUNTIF(AL198:BI198,"×")&gt;0</f>
        <v>1</v>
      </c>
      <c r="AK198" s="157" t="s">
        <v>562</v>
      </c>
      <c r="AL198" s="1532" t="str">
        <f>IF(F197&gt;=$AI$193,IF(F198="","×",F198),"△")</f>
        <v>×</v>
      </c>
      <c r="AM198" s="1533"/>
      <c r="AN198" s="1532" t="str">
        <f>IF(H197&gt;=$AI$193,IF(H198="","×",H198),"△")</f>
        <v>×</v>
      </c>
      <c r="AO198" s="1533"/>
      <c r="AP198" s="1532" t="str">
        <f>IF(J197&gt;=$AI$193,IF(J198="","×",J198),"△")</f>
        <v>×</v>
      </c>
      <c r="AQ198" s="1533"/>
      <c r="AR198" s="1532" t="str">
        <f>IF(L197&gt;=$AI$193,IF(L198="","×",L198),"△")</f>
        <v>×</v>
      </c>
      <c r="AS198" s="1533"/>
      <c r="AT198" s="1532" t="str">
        <f>IF(N197&gt;=$AI$193,IF(N198="","×",N198),"△")</f>
        <v>×</v>
      </c>
      <c r="AU198" s="1533"/>
      <c r="AV198" s="1532" t="str">
        <f>IF(P197&gt;=$AI$193,IF(P198="","×",P198),"△")</f>
        <v>×</v>
      </c>
      <c r="AW198" s="1533"/>
      <c r="AX198" s="1532" t="str">
        <f>IF(R197&gt;=$AI$193,IF(R198="","×",R198),"△")</f>
        <v>×</v>
      </c>
      <c r="AY198" s="1533"/>
      <c r="AZ198" s="1532" t="str">
        <f>IF(T197&gt;=$AI$193,IF(T198="","×",T198),"△")</f>
        <v>×</v>
      </c>
      <c r="BA198" s="1533"/>
      <c r="BB198" s="1532" t="str">
        <f>IF(V197&gt;=$AI$193,IF(V198="","×",V198),"△")</f>
        <v>×</v>
      </c>
      <c r="BC198" s="1533"/>
      <c r="BD198" s="1532" t="str">
        <f>IF(X197&gt;=$AI$193,IF(X198="","×",X198),"△")</f>
        <v>×</v>
      </c>
      <c r="BE198" s="1533"/>
      <c r="BF198" s="1532" t="str">
        <f>IF(Z197&gt;=$AI$193,IF(Z198="","×",Z198),"△")</f>
        <v>×</v>
      </c>
      <c r="BG198" s="1533"/>
      <c r="BH198" s="1532" t="str">
        <f>IF(AB197&gt;=$AI$193,IF(AB198="","×",AB198),"△")</f>
        <v>×</v>
      </c>
      <c r="BI198" s="1576"/>
      <c r="BJ198" s="1619"/>
      <c r="BK198" s="1620"/>
      <c r="BL198" s="155"/>
      <c r="BM198" s="155"/>
    </row>
    <row r="199" spans="1:65" s="100" customFormat="1" ht="15" customHeight="1" thickBot="1">
      <c r="A199" s="1597" t="s">
        <v>84</v>
      </c>
      <c r="B199" s="1597"/>
      <c r="C199" s="1597"/>
      <c r="D199" s="1597"/>
      <c r="E199" s="1597"/>
      <c r="F199" s="1553">
        <f>IF(F197=$AI$193,+$D$14,AB196)</f>
        <v>0</v>
      </c>
      <c r="G199" s="1386"/>
      <c r="H199" s="1386">
        <f>IF(H197=$AI$193,+$D$14,F199)</f>
        <v>0</v>
      </c>
      <c r="I199" s="1386"/>
      <c r="J199" s="1386">
        <f>IF(J197=$AI$193,+$D$14,H199)</f>
        <v>0</v>
      </c>
      <c r="K199" s="1386"/>
      <c r="L199" s="1386">
        <f>IF(L197=$AI$193,+$D$14,J199)</f>
        <v>0</v>
      </c>
      <c r="M199" s="1386"/>
      <c r="N199" s="1386">
        <f>IF(N197=$AI$193,+$D$14,L199)</f>
        <v>0</v>
      </c>
      <c r="O199" s="1386"/>
      <c r="P199" s="1386">
        <f>IF(P197=$AI$193,+$D$14,N199)</f>
        <v>0</v>
      </c>
      <c r="Q199" s="1386"/>
      <c r="R199" s="1386">
        <f>IF(R197=$AI$193,+$D$14,P199)</f>
        <v>0</v>
      </c>
      <c r="S199" s="1386"/>
      <c r="T199" s="1386">
        <f>IF(T197=$AI$193,+$D$14,R199)</f>
        <v>0</v>
      </c>
      <c r="U199" s="1386"/>
      <c r="V199" s="1386">
        <f>IF(V197=$AI$193,+$D$14,T199)</f>
        <v>0</v>
      </c>
      <c r="W199" s="1386"/>
      <c r="X199" s="1386">
        <f>IF(X197=$AI$193,+$D$14,V199)</f>
        <v>0</v>
      </c>
      <c r="Y199" s="1386"/>
      <c r="Z199" s="1386">
        <f>IF(Z197=$AI$193,+$D$14,X199)</f>
        <v>0</v>
      </c>
      <c r="AA199" s="1386"/>
      <c r="AB199" s="1386">
        <f>IF(AB197=$AI$193,+$D$14,Z199)</f>
        <v>0</v>
      </c>
      <c r="AC199" s="1577"/>
      <c r="AD199" s="1626">
        <f>SUM(F199:AC199)</f>
        <v>0</v>
      </c>
      <c r="AE199" s="1626"/>
      <c r="AF199" s="1582"/>
      <c r="AG199" s="1583"/>
      <c r="AH199" s="87"/>
      <c r="AI199" s="1536"/>
      <c r="AJ199" s="188" t="b">
        <f>AND(COUNTIF(AL199:BI199,1)&gt;=1,COUNTIF(AL199:BI199,2)=0)</f>
        <v>0</v>
      </c>
      <c r="AK199" s="158" t="s">
        <v>497</v>
      </c>
      <c r="AL199" s="1372">
        <f>IF(OR(AL198="×",AL198="△"),0,IF(F198&gt;F199,1,2))</f>
        <v>0</v>
      </c>
      <c r="AM199" s="1373"/>
      <c r="AN199" s="1372">
        <f>IF(OR(AN198="×",AN198="△"),0,IF(H198&gt;H199,1,2))</f>
        <v>0</v>
      </c>
      <c r="AO199" s="1373"/>
      <c r="AP199" s="1372">
        <f>IF(OR(AP198="×",AP198="△"),0,IF(J198&gt;J199,1,2))</f>
        <v>0</v>
      </c>
      <c r="AQ199" s="1373"/>
      <c r="AR199" s="1372">
        <f>IF(OR(AR198="×",AR198="△"),0,IF(L198&gt;L199,1,2))</f>
        <v>0</v>
      </c>
      <c r="AS199" s="1373"/>
      <c r="AT199" s="1372">
        <f>IF(OR(AT198="×",AT198="△"),0,IF(N198&gt;N199,1,2))</f>
        <v>0</v>
      </c>
      <c r="AU199" s="1373"/>
      <c r="AV199" s="1372">
        <f>IF(OR(AV198="×",AV198="△"),0,IF(P198&gt;P199,1,2))</f>
        <v>0</v>
      </c>
      <c r="AW199" s="1373"/>
      <c r="AX199" s="1372">
        <f>IF(OR(AX198="×",AX198="△"),0,IF(R198&gt;R199,1,2))</f>
        <v>0</v>
      </c>
      <c r="AY199" s="1373"/>
      <c r="AZ199" s="1372">
        <f>IF(OR(AZ198="×",AZ198="△"),0,IF(T198&gt;T199,1,2))</f>
        <v>0</v>
      </c>
      <c r="BA199" s="1373"/>
      <c r="BB199" s="1372">
        <f>IF(OR(BB198="×",BB198="△"),0,IF(V198&gt;V199,1,2))</f>
        <v>0</v>
      </c>
      <c r="BC199" s="1373"/>
      <c r="BD199" s="1372">
        <f>IF(OR(BD198="×",BD198="△"),0,IF(X198&gt;X199,1,2))</f>
        <v>0</v>
      </c>
      <c r="BE199" s="1373"/>
      <c r="BF199" s="1372">
        <f>IF(OR(BF198="×",BF198="△"),0,IF(Z198&gt;Z199,1,2))</f>
        <v>0</v>
      </c>
      <c r="BG199" s="1373"/>
      <c r="BH199" s="1372">
        <f>IF(OR(BH198="×",BH198="△"),0,IF(AB198&gt;AB199,1,2))</f>
        <v>0</v>
      </c>
      <c r="BI199" s="1391"/>
      <c r="BJ199" s="1370"/>
      <c r="BK199" s="1371"/>
      <c r="BL199" s="104"/>
      <c r="BM199" s="104"/>
    </row>
    <row r="200" spans="1:65" ht="15" customHeight="1">
      <c r="A200" s="1596" t="s">
        <v>307</v>
      </c>
      <c r="B200" s="1596"/>
      <c r="C200" s="1596"/>
      <c r="D200" s="1596"/>
      <c r="E200" s="1596"/>
      <c r="F200" s="1596"/>
      <c r="G200" s="1596"/>
      <c r="H200" s="1596"/>
      <c r="I200" s="1596"/>
      <c r="J200" s="1596"/>
      <c r="K200" s="1596"/>
      <c r="L200" s="1596"/>
      <c r="M200" s="1596"/>
      <c r="N200" s="1596"/>
      <c r="O200" s="1596"/>
      <c r="P200" s="1596"/>
      <c r="Q200" s="1596"/>
      <c r="R200" s="1596"/>
      <c r="S200" s="1596"/>
      <c r="T200" s="1596"/>
      <c r="U200" s="1596"/>
      <c r="V200" s="1596"/>
      <c r="W200" s="1596"/>
      <c r="X200" s="1596"/>
      <c r="Y200" s="1596"/>
      <c r="Z200" s="1596"/>
      <c r="AA200" s="1596"/>
      <c r="AB200" s="1596"/>
      <c r="AC200" s="1596"/>
      <c r="AD200" s="1596"/>
      <c r="AE200" s="1596"/>
      <c r="AF200" s="1596"/>
      <c r="AG200" s="1596"/>
      <c r="AH200" s="100"/>
      <c r="AI200" s="186"/>
      <c r="AJ200" s="100"/>
      <c r="AK200" s="100"/>
      <c r="AL200" s="100"/>
      <c r="AM200" s="100"/>
    </row>
    <row r="201" spans="1:65" ht="15" customHeight="1">
      <c r="A201" s="1416" t="s">
        <v>591</v>
      </c>
      <c r="B201" s="1417"/>
      <c r="C201" s="1417"/>
      <c r="D201" s="1417"/>
      <c r="E201" s="1417"/>
      <c r="F201" s="1355" t="s">
        <v>131</v>
      </c>
      <c r="G201" s="1355"/>
      <c r="H201" s="1355"/>
      <c r="I201" s="1355"/>
      <c r="J201" s="1355"/>
      <c r="K201" s="1355"/>
      <c r="L201" s="1355"/>
      <c r="M201" s="1355"/>
      <c r="N201" s="1355"/>
      <c r="O201" s="1355"/>
      <c r="P201" s="1355"/>
      <c r="Q201" s="1355"/>
      <c r="R201" s="1355"/>
      <c r="S201" s="1355"/>
      <c r="T201" s="1355"/>
      <c r="U201" s="1355"/>
      <c r="V201" s="1355"/>
      <c r="W201" s="1355"/>
      <c r="X201" s="1355"/>
      <c r="Y201" s="1355"/>
      <c r="Z201" s="1355"/>
      <c r="AA201" s="1355"/>
      <c r="AB201" s="1355"/>
      <c r="AC201" s="1356"/>
      <c r="AD201" s="1310" t="s">
        <v>170</v>
      </c>
      <c r="AE201" s="1310"/>
      <c r="AF201" s="1310"/>
      <c r="AG201" s="1310"/>
      <c r="AH201" s="100"/>
      <c r="AI201" s="186"/>
      <c r="AJ201" s="100"/>
      <c r="AK201" s="100"/>
      <c r="AL201" s="100"/>
      <c r="AM201" s="100"/>
    </row>
    <row r="202" spans="1:65" ht="15" customHeight="1">
      <c r="A202" s="1418"/>
      <c r="B202" s="1419"/>
      <c r="C202" s="1419"/>
      <c r="D202" s="1419"/>
      <c r="E202" s="1419"/>
      <c r="F202" s="941">
        <v>1</v>
      </c>
      <c r="G202" s="1430" t="s">
        <v>306</v>
      </c>
      <c r="H202" s="1430"/>
      <c r="I202" s="1430"/>
      <c r="J202" s="1430"/>
      <c r="K202" s="1430"/>
      <c r="L202" s="1430"/>
      <c r="M202" s="1430"/>
      <c r="N202" s="1430"/>
      <c r="O202" s="1430"/>
      <c r="P202" s="1430"/>
      <c r="Q202" s="1430"/>
      <c r="R202" s="1430"/>
      <c r="S202" s="1430"/>
      <c r="T202" s="1430"/>
      <c r="U202" s="1430"/>
      <c r="V202" s="1430"/>
      <c r="W202" s="1430"/>
      <c r="X202" s="1430"/>
      <c r="Y202" s="1430"/>
      <c r="Z202" s="1430"/>
      <c r="AA202" s="1430"/>
      <c r="AB202" s="1430"/>
      <c r="AC202" s="1431"/>
      <c r="AD202" s="1416" t="str">
        <f>IF(AI187,IF(AND(S203&lt;&gt;0,X203&lt;&gt;0,AA203&lt;&gt;0,S204&lt;&gt;0,S205&lt;&gt;0,S206="○"),"○","×"),"")</f>
        <v/>
      </c>
      <c r="AE202" s="1417"/>
      <c r="AF202" s="1417"/>
      <c r="AG202" s="1590"/>
      <c r="AH202" s="100"/>
      <c r="AI202" s="312" t="b">
        <f>AD202="○"</f>
        <v>0</v>
      </c>
      <c r="AJ202" s="100"/>
      <c r="AK202" s="100"/>
      <c r="AL202" s="100"/>
      <c r="AM202" s="100"/>
    </row>
    <row r="203" spans="1:65" ht="15" customHeight="1">
      <c r="A203" s="1418"/>
      <c r="B203" s="1419"/>
      <c r="C203" s="1419"/>
      <c r="D203" s="1419"/>
      <c r="E203" s="1419"/>
      <c r="F203" s="747"/>
      <c r="G203" s="1612" t="s">
        <v>565</v>
      </c>
      <c r="H203" s="1612"/>
      <c r="I203" s="1612"/>
      <c r="J203" s="1612"/>
      <c r="K203" s="1612"/>
      <c r="L203" s="1612"/>
      <c r="M203" s="1612"/>
      <c r="N203" s="1612"/>
      <c r="O203" s="1612"/>
      <c r="P203" s="1612"/>
      <c r="Q203" s="1612"/>
      <c r="R203" s="1612"/>
      <c r="S203" s="1629"/>
      <c r="T203" s="1629"/>
      <c r="U203" s="1629"/>
      <c r="V203" s="1629"/>
      <c r="W203" s="748" t="s">
        <v>304</v>
      </c>
      <c r="X203" s="1610"/>
      <c r="Y203" s="1610"/>
      <c r="Z203" s="748" t="s">
        <v>305</v>
      </c>
      <c r="AA203" s="1610"/>
      <c r="AB203" s="1610"/>
      <c r="AC203" s="749" t="s">
        <v>548</v>
      </c>
      <c r="AD203" s="1418"/>
      <c r="AE203" s="1419"/>
      <c r="AF203" s="1419"/>
      <c r="AG203" s="1591"/>
      <c r="AH203" s="100"/>
      <c r="AI203" s="193">
        <f>IF(AA203=1,DATE(S203,X203,AA203),DATE(S203,X203+1,1))</f>
        <v>1</v>
      </c>
      <c r="AJ203" s="100"/>
      <c r="AK203" s="100"/>
      <c r="AL203" s="100"/>
      <c r="AM203" s="100"/>
    </row>
    <row r="204" spans="1:65" ht="15" customHeight="1">
      <c r="A204" s="1418"/>
      <c r="B204" s="1419"/>
      <c r="C204" s="1419"/>
      <c r="D204" s="1419"/>
      <c r="E204" s="1419"/>
      <c r="F204" s="750"/>
      <c r="G204" s="1277" t="s">
        <v>567</v>
      </c>
      <c r="H204" s="1277"/>
      <c r="I204" s="1277"/>
      <c r="J204" s="1277"/>
      <c r="K204" s="1277"/>
      <c r="L204" s="1277"/>
      <c r="M204" s="1277"/>
      <c r="N204" s="1277"/>
      <c r="O204" s="1277"/>
      <c r="P204" s="1277"/>
      <c r="Q204" s="1277"/>
      <c r="R204" s="1277"/>
      <c r="S204" s="1627"/>
      <c r="T204" s="1627"/>
      <c r="U204" s="1627"/>
      <c r="V204" s="1627"/>
      <c r="W204" s="1627"/>
      <c r="X204" s="1627"/>
      <c r="Y204" s="1627"/>
      <c r="Z204" s="1627"/>
      <c r="AA204" s="1627"/>
      <c r="AB204" s="1627"/>
      <c r="AC204" s="1628"/>
      <c r="AD204" s="1418"/>
      <c r="AE204" s="1419"/>
      <c r="AF204" s="1419"/>
      <c r="AG204" s="1591"/>
      <c r="AH204" s="100"/>
      <c r="AI204" s="189"/>
      <c r="AJ204" s="100"/>
      <c r="AK204" s="100"/>
      <c r="AL204" s="100"/>
      <c r="AM204" s="100"/>
    </row>
    <row r="205" spans="1:65" ht="15" customHeight="1">
      <c r="A205" s="1418"/>
      <c r="B205" s="1419"/>
      <c r="C205" s="1419"/>
      <c r="D205" s="1419"/>
      <c r="E205" s="1419"/>
      <c r="F205" s="750"/>
      <c r="G205" s="1498" t="s">
        <v>566</v>
      </c>
      <c r="H205" s="1498"/>
      <c r="I205" s="1498"/>
      <c r="J205" s="1498"/>
      <c r="K205" s="1498"/>
      <c r="L205" s="1498"/>
      <c r="M205" s="1498"/>
      <c r="N205" s="1498"/>
      <c r="O205" s="1498"/>
      <c r="P205" s="1498"/>
      <c r="Q205" s="1498"/>
      <c r="R205" s="1498"/>
      <c r="S205" s="1608"/>
      <c r="T205" s="1608"/>
      <c r="U205" s="1608"/>
      <c r="V205" s="1608"/>
      <c r="W205" s="1608"/>
      <c r="X205" s="1608"/>
      <c r="Y205" s="1608"/>
      <c r="Z205" s="1608"/>
      <c r="AA205" s="1608"/>
      <c r="AB205" s="1608"/>
      <c r="AC205" s="1609"/>
      <c r="AD205" s="1418"/>
      <c r="AE205" s="1419"/>
      <c r="AF205" s="1419"/>
      <c r="AG205" s="1591"/>
      <c r="AH205" s="100"/>
      <c r="AI205" s="190"/>
      <c r="AJ205" s="100"/>
      <c r="AK205" s="100"/>
      <c r="AL205" s="100"/>
      <c r="AM205" s="100"/>
    </row>
    <row r="206" spans="1:65" ht="15" customHeight="1">
      <c r="A206" s="1418"/>
      <c r="B206" s="1419"/>
      <c r="C206" s="1419"/>
      <c r="D206" s="1419"/>
      <c r="E206" s="1419"/>
      <c r="F206" s="751"/>
      <c r="G206" s="1501" t="s">
        <v>969</v>
      </c>
      <c r="H206" s="1501"/>
      <c r="I206" s="1501"/>
      <c r="J206" s="1501"/>
      <c r="K206" s="1501"/>
      <c r="L206" s="1501"/>
      <c r="M206" s="1501"/>
      <c r="N206" s="1501"/>
      <c r="O206" s="1501"/>
      <c r="P206" s="1501"/>
      <c r="Q206" s="1501"/>
      <c r="R206" s="1501"/>
      <c r="S206" s="1588" t="str">
        <f>'(別紙6)定員超過'!D39</f>
        <v>×</v>
      </c>
      <c r="T206" s="1588"/>
      <c r="U206" s="1588"/>
      <c r="V206" s="1588"/>
      <c r="W206" s="1588"/>
      <c r="X206" s="1588"/>
      <c r="Y206" s="1588"/>
      <c r="Z206" s="1588"/>
      <c r="AA206" s="1588"/>
      <c r="AB206" s="1588"/>
      <c r="AC206" s="1589"/>
      <c r="AD206" s="1420"/>
      <c r="AE206" s="1421"/>
      <c r="AF206" s="1421"/>
      <c r="AG206" s="1592"/>
      <c r="AH206" s="100"/>
      <c r="AI206" s="190"/>
      <c r="AJ206" s="100"/>
      <c r="AK206" s="100"/>
      <c r="AL206" s="100"/>
      <c r="AM206" s="100"/>
    </row>
    <row r="207" spans="1:65" ht="15" customHeight="1">
      <c r="A207" s="1418"/>
      <c r="B207" s="1419"/>
      <c r="C207" s="1419"/>
      <c r="D207" s="1419"/>
      <c r="E207" s="1419"/>
      <c r="F207" s="1273" t="str">
        <f>IF(AND(AI202,I10=3),"※","")</f>
        <v/>
      </c>
      <c r="G207" s="1430" t="str">
        <f>IF(AND(AI202,I10=3),"実績報告書の提出（3月のみ）","")</f>
        <v/>
      </c>
      <c r="H207" s="1430"/>
      <c r="I207" s="1430"/>
      <c r="J207" s="1430"/>
      <c r="K207" s="1430"/>
      <c r="L207" s="1430"/>
      <c r="M207" s="1430"/>
      <c r="N207" s="1430"/>
      <c r="O207" s="1430"/>
      <c r="P207" s="1430"/>
      <c r="Q207" s="1430"/>
      <c r="R207" s="1430"/>
      <c r="S207" s="1430"/>
      <c r="T207" s="1430"/>
      <c r="U207" s="1430"/>
      <c r="V207" s="1430"/>
      <c r="W207" s="1430"/>
      <c r="X207" s="1430"/>
      <c r="Y207" s="1430"/>
      <c r="Z207" s="1430"/>
      <c r="AA207" s="1430"/>
      <c r="AB207" s="1430"/>
      <c r="AC207" s="1430"/>
      <c r="AD207" s="1584" t="str">
        <f>IF(AND(AI202,I10=3),IF(AND('(別紙6)定員超過'!D76&gt;=1.2,'(別紙6)定員超過'!P75&lt;&gt;0),"×","○"),"")</f>
        <v/>
      </c>
      <c r="AE207" s="1585"/>
      <c r="AF207" s="1585"/>
      <c r="AG207" s="1586"/>
      <c r="AH207" s="100"/>
      <c r="AI207" s="312" t="b">
        <f>AD207="×"</f>
        <v>0</v>
      </c>
      <c r="AJ207" s="100"/>
      <c r="AK207" s="100"/>
      <c r="AL207" s="100"/>
      <c r="AM207" s="100"/>
    </row>
    <row r="208" spans="1:65" ht="15" customHeight="1">
      <c r="A208" s="1420"/>
      <c r="B208" s="1421"/>
      <c r="C208" s="1421"/>
      <c r="D208" s="1421"/>
      <c r="E208" s="1421"/>
      <c r="F208" s="1340"/>
      <c r="G208" s="752"/>
      <c r="H208" s="1501" t="str">
        <f>IF(OR(AJ195,AJ198),"エラー",IF(AND(AD207="×",'(別紙6)定員超過'!D76&gt;=1.2,'(別紙6)定員超過'!P75&lt;&gt;0),'(別紙6)定員超過'!B78,IF(AND(AI187,AI202),TEXT(AI203,"YYYY年M月")&amp;"より解除","")))</f>
        <v>エラー</v>
      </c>
      <c r="I208" s="1501"/>
      <c r="J208" s="1501"/>
      <c r="K208" s="1501"/>
      <c r="L208" s="1501"/>
      <c r="M208" s="1501"/>
      <c r="N208" s="1501"/>
      <c r="O208" s="1501"/>
      <c r="P208" s="1501"/>
      <c r="Q208" s="1501"/>
      <c r="R208" s="1501"/>
      <c r="S208" s="1501"/>
      <c r="T208" s="1501"/>
      <c r="U208" s="1501"/>
      <c r="V208" s="1501"/>
      <c r="W208" s="1501"/>
      <c r="X208" s="1501"/>
      <c r="Y208" s="1501"/>
      <c r="Z208" s="1501"/>
      <c r="AA208" s="1501"/>
      <c r="AB208" s="1501"/>
      <c r="AC208" s="1502"/>
      <c r="AD208" s="1587"/>
      <c r="AE208" s="1588"/>
      <c r="AF208" s="1588"/>
      <c r="AG208" s="1589"/>
      <c r="AH208" s="100"/>
      <c r="AI208" s="190"/>
      <c r="AJ208" s="100"/>
      <c r="AK208" s="100"/>
      <c r="AL208" s="100"/>
      <c r="AM208" s="100"/>
    </row>
    <row r="209" spans="1:47" ht="15" customHeight="1">
      <c r="A209" s="1273" t="s">
        <v>67</v>
      </c>
      <c r="B209" s="1274"/>
      <c r="C209" s="1274"/>
      <c r="D209" s="1274"/>
      <c r="E209" s="1274"/>
      <c r="F209" s="1512" t="s">
        <v>592</v>
      </c>
      <c r="G209" s="1513"/>
      <c r="H209" s="1513"/>
      <c r="I209" s="1513"/>
      <c r="J209" s="1513"/>
      <c r="K209" s="1513"/>
      <c r="L209" s="1513"/>
      <c r="M209" s="1513"/>
      <c r="N209" s="1513"/>
      <c r="O209" s="1513"/>
      <c r="P209" s="1513"/>
      <c r="Q209" s="1513"/>
      <c r="R209" s="1513"/>
      <c r="S209" s="1513"/>
      <c r="T209" s="1513"/>
      <c r="U209" s="1513"/>
      <c r="V209" s="1513"/>
      <c r="W209" s="1513"/>
      <c r="X209" s="1513"/>
      <c r="Y209" s="1513"/>
      <c r="Z209" s="1513"/>
      <c r="AA209" s="1513"/>
      <c r="AB209" s="1513"/>
      <c r="AC209" s="1513"/>
      <c r="AD209" s="1513"/>
      <c r="AE209" s="1513"/>
      <c r="AF209" s="1513"/>
      <c r="AG209" s="1514"/>
      <c r="AH209" s="100"/>
      <c r="AI209" s="190"/>
      <c r="AJ209" s="100"/>
      <c r="AK209" s="100"/>
      <c r="AL209" s="100"/>
      <c r="AM209" s="100"/>
    </row>
    <row r="210" spans="1:47" ht="15" customHeight="1">
      <c r="A210" s="1340"/>
      <c r="B210" s="1341"/>
      <c r="C210" s="1341"/>
      <c r="D210" s="1341"/>
      <c r="E210" s="1341"/>
      <c r="F210" s="1604" t="s">
        <v>590</v>
      </c>
      <c r="G210" s="1605"/>
      <c r="H210" s="1605"/>
      <c r="I210" s="1605"/>
      <c r="J210" s="1605"/>
      <c r="K210" s="1605"/>
      <c r="L210" s="1605"/>
      <c r="M210" s="1605"/>
      <c r="N210" s="1605"/>
      <c r="O210" s="1605"/>
      <c r="P210" s="1605"/>
      <c r="Q210" s="1605"/>
      <c r="R210" s="1605"/>
      <c r="S210" s="1605"/>
      <c r="T210" s="1605"/>
      <c r="U210" s="1605"/>
      <c r="V210" s="1605"/>
      <c r="W210" s="1605"/>
      <c r="X210" s="1605"/>
      <c r="Y210" s="1605"/>
      <c r="Z210" s="1605"/>
      <c r="AA210" s="1605"/>
      <c r="AB210" s="1605"/>
      <c r="AC210" s="1605"/>
      <c r="AD210" s="1605"/>
      <c r="AE210" s="1605"/>
      <c r="AF210" s="1605"/>
      <c r="AG210" s="1606"/>
      <c r="AH210" s="100"/>
      <c r="AI210" s="190"/>
      <c r="AJ210" s="100"/>
      <c r="AK210" s="100"/>
      <c r="AL210" s="100"/>
      <c r="AM210" s="100"/>
    </row>
    <row r="211" spans="1:47" ht="15" customHeight="1" thickBot="1">
      <c r="A211" s="958"/>
      <c r="B211" s="958"/>
      <c r="C211" s="958"/>
      <c r="D211" s="958"/>
      <c r="E211" s="958"/>
      <c r="F211" s="958"/>
      <c r="G211" s="958"/>
      <c r="H211" s="958"/>
      <c r="I211" s="958"/>
      <c r="J211" s="958"/>
      <c r="K211" s="958"/>
      <c r="L211" s="958"/>
      <c r="M211" s="958"/>
      <c r="N211" s="958"/>
      <c r="O211" s="958"/>
      <c r="P211" s="958"/>
      <c r="Q211" s="958"/>
      <c r="R211" s="958"/>
      <c r="S211" s="958"/>
      <c r="T211" s="958"/>
      <c r="U211" s="958"/>
      <c r="V211" s="958"/>
      <c r="W211" s="958"/>
      <c r="X211" s="958"/>
      <c r="Y211" s="958"/>
      <c r="Z211" s="958"/>
      <c r="AA211" s="958"/>
      <c r="AB211" s="958"/>
      <c r="AC211" s="958"/>
      <c r="AD211" s="958"/>
      <c r="AE211" s="958"/>
      <c r="AF211" s="707"/>
      <c r="AG211" s="707"/>
      <c r="AI211" s="938"/>
    </row>
    <row r="212" spans="1:47" ht="15" customHeight="1" thickBot="1">
      <c r="A212" s="1301" t="s">
        <v>1130</v>
      </c>
      <c r="B212" s="1301"/>
      <c r="C212" s="1301"/>
      <c r="D212" s="1301"/>
      <c r="E212" s="1301"/>
      <c r="F212" s="1301"/>
      <c r="G212" s="1301"/>
      <c r="H212" s="1301"/>
      <c r="I212" s="1301"/>
      <c r="J212" s="1311" t="str">
        <f>IF(AND(AI213,AI219,AI220,AI221),"○","×")</f>
        <v>×</v>
      </c>
      <c r="K212" s="1312"/>
      <c r="L212" s="1312"/>
      <c r="M212" s="1312"/>
      <c r="N212" s="1313"/>
      <c r="O212" s="1427" t="s">
        <v>167</v>
      </c>
      <c r="P212" s="1277"/>
      <c r="Q212" s="1277"/>
      <c r="R212" s="707"/>
      <c r="S212" s="707"/>
      <c r="T212" s="707"/>
      <c r="U212" s="707"/>
      <c r="V212" s="715"/>
      <c r="W212" s="715"/>
      <c r="X212" s="715"/>
      <c r="Y212" s="715"/>
      <c r="Z212" s="715"/>
      <c r="AA212" s="715"/>
      <c r="AB212" s="715"/>
      <c r="AC212" s="715"/>
      <c r="AD212" s="715"/>
      <c r="AE212" s="715"/>
      <c r="AF212" s="707"/>
      <c r="AG212" s="707"/>
      <c r="AI212" s="938"/>
    </row>
    <row r="213" spans="1:47" s="100" customFormat="1" ht="15" customHeight="1">
      <c r="A213" s="1310" t="s">
        <v>168</v>
      </c>
      <c r="B213" s="1310"/>
      <c r="C213" s="1310"/>
      <c r="D213" s="1310"/>
      <c r="E213" s="1310"/>
      <c r="F213" s="1338"/>
      <c r="G213" s="1338"/>
      <c r="H213" s="1338"/>
      <c r="I213" s="1338"/>
      <c r="J213" s="1339"/>
      <c r="K213" s="1339"/>
      <c r="L213" s="707"/>
      <c r="M213" s="707"/>
      <c r="N213" s="707"/>
      <c r="O213" s="707"/>
      <c r="P213" s="707"/>
      <c r="Q213" s="707"/>
      <c r="R213" s="707"/>
      <c r="S213" s="707"/>
      <c r="T213" s="707"/>
      <c r="U213" s="707"/>
      <c r="V213" s="707"/>
      <c r="W213" s="707"/>
      <c r="X213" s="707"/>
      <c r="Y213" s="707"/>
      <c r="Z213" s="707"/>
      <c r="AA213" s="707"/>
      <c r="AB213" s="707"/>
      <c r="AC213" s="707"/>
      <c r="AD213" s="707"/>
      <c r="AE213" s="707"/>
      <c r="AF213" s="707"/>
      <c r="AG213" s="707"/>
      <c r="AH213" s="87"/>
      <c r="AI213" s="312" t="b">
        <f>F213="申請する"</f>
        <v>0</v>
      </c>
      <c r="AJ213" s="87"/>
      <c r="AK213" s="87"/>
      <c r="AL213" s="87"/>
      <c r="AM213" s="87"/>
    </row>
    <row r="214" spans="1:47" s="100" customFormat="1" ht="15" customHeight="1">
      <c r="A214" s="1598" t="s">
        <v>191</v>
      </c>
      <c r="B214" s="1599"/>
      <c r="C214" s="1599"/>
      <c r="D214" s="1599"/>
      <c r="E214" s="1599"/>
      <c r="F214" s="1296" t="s">
        <v>169</v>
      </c>
      <c r="G214" s="1310"/>
      <c r="H214" s="1310"/>
      <c r="I214" s="1310"/>
      <c r="J214" s="1310"/>
      <c r="K214" s="1310"/>
      <c r="L214" s="1310"/>
      <c r="M214" s="1310"/>
      <c r="N214" s="1310"/>
      <c r="O214" s="1310"/>
      <c r="P214" s="1310"/>
      <c r="Q214" s="1310"/>
      <c r="R214" s="1310"/>
      <c r="S214" s="1310"/>
      <c r="T214" s="1310"/>
      <c r="U214" s="1310"/>
      <c r="V214" s="1310"/>
      <c r="W214" s="1310"/>
      <c r="X214" s="1310"/>
      <c r="Y214" s="1310"/>
      <c r="Z214" s="1310"/>
      <c r="AA214" s="1361" t="s">
        <v>192</v>
      </c>
      <c r="AB214" s="1362"/>
      <c r="AC214" s="1362"/>
      <c r="AD214" s="1363"/>
      <c r="AE214" s="668"/>
      <c r="AF214" s="668"/>
      <c r="AG214" s="668"/>
      <c r="AI214" s="80"/>
    </row>
    <row r="215" spans="1:47" ht="15" customHeight="1">
      <c r="A215" s="1600"/>
      <c r="B215" s="1601"/>
      <c r="C215" s="1601"/>
      <c r="D215" s="1601"/>
      <c r="E215" s="1601"/>
      <c r="F215" s="1607" t="s">
        <v>149</v>
      </c>
      <c r="G215" s="1430"/>
      <c r="H215" s="1430"/>
      <c r="I215" s="1430"/>
      <c r="J215" s="1430"/>
      <c r="K215" s="1430"/>
      <c r="L215" s="1430"/>
      <c r="M215" s="1430"/>
      <c r="N215" s="1430"/>
      <c r="O215" s="1430"/>
      <c r="P215" s="1430"/>
      <c r="Q215" s="1430"/>
      <c r="R215" s="1430"/>
      <c r="S215" s="1430"/>
      <c r="T215" s="1430"/>
      <c r="U215" s="1430"/>
      <c r="V215" s="1430"/>
      <c r="W215" s="1430"/>
      <c r="X215" s="1430"/>
      <c r="Y215" s="1430"/>
      <c r="Z215" s="1430"/>
      <c r="AA215" s="1593"/>
      <c r="AB215" s="1594"/>
      <c r="AC215" s="1594"/>
      <c r="AD215" s="1595"/>
      <c r="AE215" s="668" t="s">
        <v>193</v>
      </c>
      <c r="AF215" s="668"/>
      <c r="AG215" s="668"/>
      <c r="AH215" s="100"/>
      <c r="AI215" s="80"/>
      <c r="AJ215" s="100"/>
      <c r="AK215" s="100"/>
      <c r="AL215" s="100"/>
      <c r="AM215" s="100"/>
    </row>
    <row r="216" spans="1:47" ht="15" customHeight="1">
      <c r="A216" s="1600"/>
      <c r="B216" s="1601"/>
      <c r="C216" s="1601"/>
      <c r="D216" s="1601"/>
      <c r="E216" s="1601"/>
      <c r="F216" s="1509" t="s">
        <v>129</v>
      </c>
      <c r="G216" s="1411"/>
      <c r="H216" s="1411"/>
      <c r="I216" s="1411"/>
      <c r="J216" s="1411"/>
      <c r="K216" s="1411"/>
      <c r="L216" s="1411"/>
      <c r="M216" s="1411"/>
      <c r="N216" s="1411"/>
      <c r="O216" s="1411"/>
      <c r="P216" s="1411"/>
      <c r="Q216" s="1411"/>
      <c r="R216" s="1411"/>
      <c r="S216" s="1411"/>
      <c r="T216" s="1411"/>
      <c r="U216" s="1411"/>
      <c r="V216" s="1411"/>
      <c r="W216" s="1411"/>
      <c r="X216" s="1411"/>
      <c r="Y216" s="1411"/>
      <c r="Z216" s="1412"/>
      <c r="AA216" s="1593"/>
      <c r="AB216" s="1594"/>
      <c r="AC216" s="1594"/>
      <c r="AD216" s="1595"/>
      <c r="AE216" s="715" t="s">
        <v>193</v>
      </c>
      <c r="AF216" s="715"/>
      <c r="AG216" s="707"/>
      <c r="AI216" s="938"/>
    </row>
    <row r="217" spans="1:47" ht="15" customHeight="1">
      <c r="A217" s="1602"/>
      <c r="B217" s="1603"/>
      <c r="C217" s="1603"/>
      <c r="D217" s="1603"/>
      <c r="E217" s="1603"/>
      <c r="F217" s="1343" t="str">
        <f>"⇒　配置が必要な代替教員数は"&amp;【様式５】職員数算出表!L96&amp;"人です。"</f>
        <v>⇒　配置が必要な代替教員数は0人です。</v>
      </c>
      <c r="G217" s="1344"/>
      <c r="H217" s="1344"/>
      <c r="I217" s="1344"/>
      <c r="J217" s="1344"/>
      <c r="K217" s="1344"/>
      <c r="L217" s="1344"/>
      <c r="M217" s="1344"/>
      <c r="N217" s="1344"/>
      <c r="O217" s="1344"/>
      <c r="P217" s="1344"/>
      <c r="Q217" s="1344"/>
      <c r="R217" s="1344"/>
      <c r="S217" s="1344"/>
      <c r="T217" s="1344"/>
      <c r="U217" s="1344"/>
      <c r="V217" s="1344"/>
      <c r="W217" s="1344"/>
      <c r="X217" s="1344"/>
      <c r="Y217" s="1344"/>
      <c r="Z217" s="1344"/>
      <c r="AA217" s="1344"/>
      <c r="AB217" s="1344"/>
      <c r="AC217" s="1344"/>
      <c r="AD217" s="1345"/>
      <c r="AE217" s="715"/>
      <c r="AF217" s="715"/>
      <c r="AG217" s="707"/>
      <c r="AI217" s="938"/>
    </row>
    <row r="218" spans="1:47" s="100" customFormat="1" ht="15" customHeight="1">
      <c r="A218" s="1613" t="s">
        <v>1111</v>
      </c>
      <c r="B218" s="1614"/>
      <c r="C218" s="1614"/>
      <c r="D218" s="1614"/>
      <c r="E218" s="1614"/>
      <c r="F218" s="1274" t="s">
        <v>169</v>
      </c>
      <c r="G218" s="1274"/>
      <c r="H218" s="1274"/>
      <c r="I218" s="1274"/>
      <c r="J218" s="1274"/>
      <c r="K218" s="1274"/>
      <c r="L218" s="1274"/>
      <c r="M218" s="1274"/>
      <c r="N218" s="1274"/>
      <c r="O218" s="1274"/>
      <c r="P218" s="1274"/>
      <c r="Q218" s="1274"/>
      <c r="R218" s="1274"/>
      <c r="S218" s="1274"/>
      <c r="T218" s="1274"/>
      <c r="U218" s="1274"/>
      <c r="V218" s="1274"/>
      <c r="W218" s="1274"/>
      <c r="X218" s="1274"/>
      <c r="Y218" s="1274"/>
      <c r="Z218" s="1274"/>
      <c r="AA218" s="1274"/>
      <c r="AB218" s="1274"/>
      <c r="AC218" s="1275"/>
      <c r="AD218" s="1310" t="s">
        <v>170</v>
      </c>
      <c r="AE218" s="1310"/>
      <c r="AF218" s="1310"/>
      <c r="AG218" s="1310"/>
      <c r="AI218" s="80"/>
      <c r="AK218" s="87"/>
      <c r="AL218" s="87"/>
      <c r="AM218" s="87"/>
      <c r="AN218" s="87"/>
    </row>
    <row r="219" spans="1:47" s="100" customFormat="1" ht="15" customHeight="1">
      <c r="A219" s="1615"/>
      <c r="B219" s="1616"/>
      <c r="C219" s="1616"/>
      <c r="D219" s="1616"/>
      <c r="E219" s="1616"/>
      <c r="F219" s="947">
        <v>1</v>
      </c>
      <c r="G219" s="1630" t="s">
        <v>908</v>
      </c>
      <c r="H219" s="1630"/>
      <c r="I219" s="1630"/>
      <c r="J219" s="1630"/>
      <c r="K219" s="1630"/>
      <c r="L219" s="1630"/>
      <c r="M219" s="1630"/>
      <c r="N219" s="1630"/>
      <c r="O219" s="1630"/>
      <c r="P219" s="1630"/>
      <c r="Q219" s="1630"/>
      <c r="R219" s="1630"/>
      <c r="S219" s="1630"/>
      <c r="T219" s="1630"/>
      <c r="U219" s="1630"/>
      <c r="V219" s="1630"/>
      <c r="W219" s="1630"/>
      <c r="X219" s="1630"/>
      <c r="Y219" s="1630"/>
      <c r="Z219" s="1630"/>
      <c r="AA219" s="1630"/>
      <c r="AB219" s="1630"/>
      <c r="AC219" s="1631"/>
      <c r="AD219" s="1354" t="str">
        <f>【様式５】職員数算出表!O29</f>
        <v>-</v>
      </c>
      <c r="AE219" s="1355"/>
      <c r="AF219" s="1355"/>
      <c r="AG219" s="1356"/>
      <c r="AI219" s="962" t="b">
        <f>AD219="○"</f>
        <v>0</v>
      </c>
    </row>
    <row r="220" spans="1:47" s="100" customFormat="1" ht="26.25" customHeight="1">
      <c r="A220" s="1615"/>
      <c r="B220" s="1616"/>
      <c r="C220" s="1616"/>
      <c r="D220" s="1616"/>
      <c r="E220" s="1616"/>
      <c r="F220" s="1208">
        <v>2</v>
      </c>
      <c r="G220" s="1637" t="s">
        <v>1106</v>
      </c>
      <c r="H220" s="1637"/>
      <c r="I220" s="1637"/>
      <c r="J220" s="1637"/>
      <c r="K220" s="1637"/>
      <c r="L220" s="1637"/>
      <c r="M220" s="1637"/>
      <c r="N220" s="1637"/>
      <c r="O220" s="1637"/>
      <c r="P220" s="1637"/>
      <c r="Q220" s="1637"/>
      <c r="R220" s="1637"/>
      <c r="S220" s="1637"/>
      <c r="T220" s="1637"/>
      <c r="U220" s="1637"/>
      <c r="V220" s="1637"/>
      <c r="W220" s="1637"/>
      <c r="X220" s="1637"/>
      <c r="Y220" s="1637"/>
      <c r="Z220" s="1637"/>
      <c r="AA220" s="1637"/>
      <c r="AB220" s="1637"/>
      <c r="AC220" s="1637"/>
      <c r="AD220" s="1634"/>
      <c r="AE220" s="1316"/>
      <c r="AF220" s="1316"/>
      <c r="AG220" s="1635"/>
      <c r="AH220" s="1204"/>
      <c r="AI220" s="1209" t="b">
        <f>AD220="○"</f>
        <v>0</v>
      </c>
    </row>
    <row r="221" spans="1:47" ht="15" customHeight="1">
      <c r="A221" s="1615"/>
      <c r="B221" s="1616"/>
      <c r="C221" s="1616"/>
      <c r="D221" s="1616"/>
      <c r="E221" s="1616"/>
      <c r="F221" s="942">
        <v>3</v>
      </c>
      <c r="G221" s="1632" t="s">
        <v>308</v>
      </c>
      <c r="H221" s="1632"/>
      <c r="I221" s="1632"/>
      <c r="J221" s="1632"/>
      <c r="K221" s="1632"/>
      <c r="L221" s="1632"/>
      <c r="M221" s="1632"/>
      <c r="N221" s="1632"/>
      <c r="O221" s="1632"/>
      <c r="P221" s="1632"/>
      <c r="Q221" s="1632"/>
      <c r="R221" s="1632"/>
      <c r="S221" s="1632"/>
      <c r="T221" s="1632"/>
      <c r="U221" s="1632"/>
      <c r="V221" s="1632"/>
      <c r="W221" s="1632"/>
      <c r="X221" s="1632"/>
      <c r="Y221" s="1632"/>
      <c r="Z221" s="1632"/>
      <c r="AA221" s="1632"/>
      <c r="AB221" s="1632"/>
      <c r="AC221" s="1633"/>
      <c r="AD221" s="1273" t="str">
        <f>IF(COUNTIF($AF$222:$AG$250,"○")&gt;=2,"○","×")</f>
        <v>×</v>
      </c>
      <c r="AE221" s="1274"/>
      <c r="AF221" s="1274"/>
      <c r="AG221" s="1636"/>
      <c r="AH221" s="73"/>
      <c r="AI221" s="962" t="b">
        <f>AD221="○"</f>
        <v>0</v>
      </c>
      <c r="AJ221" s="74"/>
    </row>
    <row r="222" spans="1:47" ht="50.1" customHeight="1">
      <c r="A222" s="1615"/>
      <c r="B222" s="1616"/>
      <c r="C222" s="1616"/>
      <c r="D222" s="1616"/>
      <c r="E222" s="1616"/>
      <c r="F222" s="1402" t="s">
        <v>25</v>
      </c>
      <c r="G222" s="1403"/>
      <c r="H222" s="1456" t="s">
        <v>1113</v>
      </c>
      <c r="I222" s="1456"/>
      <c r="J222" s="1456"/>
      <c r="K222" s="1456"/>
      <c r="L222" s="1456"/>
      <c r="M222" s="1456"/>
      <c r="N222" s="1456"/>
      <c r="O222" s="1456"/>
      <c r="P222" s="1456"/>
      <c r="Q222" s="1456"/>
      <c r="R222" s="1456"/>
      <c r="S222" s="1456"/>
      <c r="T222" s="1456"/>
      <c r="U222" s="1456"/>
      <c r="V222" s="1456"/>
      <c r="W222" s="1456"/>
      <c r="X222" s="1456"/>
      <c r="Y222" s="1456"/>
      <c r="Z222" s="1456"/>
      <c r="AA222" s="1456"/>
      <c r="AB222" s="1456"/>
      <c r="AC222" s="1456"/>
      <c r="AD222" s="1456"/>
      <c r="AE222" s="1456"/>
      <c r="AF222" s="1398" t="str">
        <f>IFERROR(IF(OR(HLOOKUP($AI$235,$AJ$224:$AU$225,2,FALSE),AND($AI$235=1,$AK$225)),"○","×"),"×")</f>
        <v>×</v>
      </c>
      <c r="AG222" s="1399"/>
    </row>
    <row r="223" spans="1:47" ht="20.100000000000001" hidden="1" customHeight="1">
      <c r="A223" s="1615"/>
      <c r="B223" s="1616"/>
      <c r="C223" s="1616"/>
      <c r="D223" s="1616"/>
      <c r="E223" s="1616"/>
      <c r="F223" s="1276"/>
      <c r="G223" s="1277"/>
      <c r="H223" s="1404" t="s">
        <v>997</v>
      </c>
      <c r="I223" s="1404"/>
      <c r="J223" s="1404"/>
      <c r="K223" s="1404"/>
      <c r="L223" s="1404"/>
      <c r="M223" s="1404"/>
      <c r="N223" s="1404"/>
      <c r="O223" s="1404"/>
      <c r="P223" s="1404"/>
      <c r="Q223" s="1404"/>
      <c r="R223" s="1404"/>
      <c r="S223" s="1404"/>
      <c r="T223" s="1404"/>
      <c r="U223" s="1404"/>
      <c r="V223" s="1404"/>
      <c r="W223" s="1404"/>
      <c r="X223" s="1404"/>
      <c r="Y223" s="1404"/>
      <c r="Z223" s="1404"/>
      <c r="AA223" s="1404"/>
      <c r="AB223" s="1405"/>
      <c r="AC223" s="1406"/>
      <c r="AD223" s="1406"/>
      <c r="AE223" s="1407"/>
      <c r="AF223" s="1457"/>
      <c r="AG223" s="1458"/>
      <c r="AI223" s="86" t="s">
        <v>346</v>
      </c>
      <c r="AJ223" s="139">
        <v>4</v>
      </c>
      <c r="AK223" s="962">
        <v>5</v>
      </c>
      <c r="AL223" s="962">
        <v>6</v>
      </c>
      <c r="AM223" s="962">
        <v>7</v>
      </c>
      <c r="AN223" s="962">
        <v>8</v>
      </c>
      <c r="AO223" s="962">
        <v>9</v>
      </c>
      <c r="AP223" s="962">
        <v>10</v>
      </c>
      <c r="AQ223" s="962">
        <v>11</v>
      </c>
      <c r="AR223" s="962">
        <v>12</v>
      </c>
      <c r="AS223" s="962">
        <v>1</v>
      </c>
      <c r="AT223" s="962">
        <v>2</v>
      </c>
      <c r="AU223" s="962">
        <v>3</v>
      </c>
    </row>
    <row r="224" spans="1:47" s="74" customFormat="1" ht="15" customHeight="1">
      <c r="A224" s="1615"/>
      <c r="B224" s="1616"/>
      <c r="C224" s="1616"/>
      <c r="D224" s="1616"/>
      <c r="E224" s="1616"/>
      <c r="F224" s="1276"/>
      <c r="G224" s="1277"/>
      <c r="H224" s="1459" t="str">
        <f>IF(AB223="○","昨年度","今年度")&amp;"の各月延べ利用数(20人/月が該当月)"</f>
        <v>今年度の各月延べ利用数(20人/月が該当月)</v>
      </c>
      <c r="I224" s="1459"/>
      <c r="J224" s="1459"/>
      <c r="K224" s="1459"/>
      <c r="L224" s="1459"/>
      <c r="M224" s="1459"/>
      <c r="N224" s="1459"/>
      <c r="O224" s="1459"/>
      <c r="P224" s="1459"/>
      <c r="Q224" s="1459"/>
      <c r="R224" s="1459"/>
      <c r="S224" s="1459"/>
      <c r="T224" s="1459"/>
      <c r="U224" s="1459"/>
      <c r="V224" s="1459"/>
      <c r="W224" s="1459"/>
      <c r="X224" s="1459"/>
      <c r="Y224" s="1459"/>
      <c r="Z224" s="1459"/>
      <c r="AA224" s="1459"/>
      <c r="AB224" s="1461"/>
      <c r="AC224" s="1461"/>
      <c r="AD224" s="1461"/>
      <c r="AE224" s="1462"/>
      <c r="AF224" s="1457"/>
      <c r="AG224" s="1458"/>
      <c r="AI224" s="86" t="s">
        <v>332</v>
      </c>
      <c r="AJ224" s="86">
        <v>1</v>
      </c>
      <c r="AK224" s="86">
        <v>2</v>
      </c>
      <c r="AL224" s="86">
        <v>3</v>
      </c>
      <c r="AM224" s="86">
        <v>4</v>
      </c>
      <c r="AN224" s="86">
        <v>5</v>
      </c>
      <c r="AO224" s="86">
        <v>6</v>
      </c>
      <c r="AP224" s="86">
        <v>7</v>
      </c>
      <c r="AQ224" s="86">
        <v>8</v>
      </c>
      <c r="AR224" s="86">
        <v>9</v>
      </c>
      <c r="AS224" s="86">
        <v>10</v>
      </c>
      <c r="AT224" s="86">
        <v>11</v>
      </c>
      <c r="AU224" s="86">
        <v>12</v>
      </c>
    </row>
    <row r="225" spans="1:68" s="74" customFormat="1" ht="15" customHeight="1">
      <c r="A225" s="1615"/>
      <c r="B225" s="1616"/>
      <c r="C225" s="1616"/>
      <c r="D225" s="1616"/>
      <c r="E225" s="1616"/>
      <c r="F225" s="1276"/>
      <c r="G225" s="1277"/>
      <c r="H225" s="1396" t="s">
        <v>333</v>
      </c>
      <c r="I225" s="1396"/>
      <c r="J225" s="1397"/>
      <c r="K225" s="1408"/>
      <c r="L225" s="1409"/>
      <c r="M225" s="786" t="s">
        <v>8</v>
      </c>
      <c r="N225" s="1396" t="s">
        <v>334</v>
      </c>
      <c r="O225" s="1396"/>
      <c r="P225" s="1397"/>
      <c r="Q225" s="1408"/>
      <c r="R225" s="1409"/>
      <c r="S225" s="786" t="s">
        <v>8</v>
      </c>
      <c r="T225" s="1396" t="s">
        <v>335</v>
      </c>
      <c r="U225" s="1396"/>
      <c r="V225" s="1397"/>
      <c r="W225" s="1408"/>
      <c r="X225" s="1409"/>
      <c r="Y225" s="786" t="s">
        <v>8</v>
      </c>
      <c r="Z225" s="1396" t="s">
        <v>336</v>
      </c>
      <c r="AA225" s="1396"/>
      <c r="AB225" s="1397"/>
      <c r="AC225" s="1408"/>
      <c r="AD225" s="1409"/>
      <c r="AE225" s="788" t="s">
        <v>8</v>
      </c>
      <c r="AF225" s="1457"/>
      <c r="AG225" s="1458"/>
      <c r="AI225" s="86" t="s">
        <v>337</v>
      </c>
      <c r="AJ225" s="962" t="b">
        <f>K225&gt;=20</f>
        <v>0</v>
      </c>
      <c r="AK225" s="962" t="b">
        <f>OR(Q225&gt;=20,AJ225)</f>
        <v>0</v>
      </c>
      <c r="AL225" s="962" t="b">
        <f>OR(W225&gt;=20,AK225)</f>
        <v>0</v>
      </c>
      <c r="AM225" s="962" t="b">
        <f>OR(AC225&gt;=20,AL225)</f>
        <v>0</v>
      </c>
      <c r="AN225" s="962" t="b">
        <f>OR(K226&gt;=20,AM225)</f>
        <v>0</v>
      </c>
      <c r="AO225" s="962" t="b">
        <f>OR(Q226&gt;=20,AN225)</f>
        <v>0</v>
      </c>
      <c r="AP225" s="962" t="b">
        <f>OR(W226&gt;=20,AO225)</f>
        <v>0</v>
      </c>
      <c r="AQ225" s="962" t="b">
        <f>OR(AC226&gt;=20,AP225)</f>
        <v>0</v>
      </c>
      <c r="AR225" s="962" t="b">
        <f>OR(K227&gt;=20,AQ225)</f>
        <v>0</v>
      </c>
      <c r="AS225" s="962" t="b">
        <f>OR(Q227&gt;=20,AR225)</f>
        <v>0</v>
      </c>
      <c r="AT225" s="962" t="b">
        <f>OR(W227&gt;=20,AS225)</f>
        <v>0</v>
      </c>
      <c r="AU225" s="962" t="b">
        <f>OR(AC227&gt;=20,AT225)</f>
        <v>0</v>
      </c>
    </row>
    <row r="226" spans="1:68" s="74" customFormat="1" ht="15" customHeight="1">
      <c r="A226" s="1615"/>
      <c r="B226" s="1616"/>
      <c r="C226" s="1616"/>
      <c r="D226" s="1616"/>
      <c r="E226" s="1616"/>
      <c r="F226" s="1276"/>
      <c r="G226" s="1277"/>
      <c r="H226" s="1396" t="s">
        <v>338</v>
      </c>
      <c r="I226" s="1396"/>
      <c r="J226" s="1397"/>
      <c r="K226" s="1408"/>
      <c r="L226" s="1409"/>
      <c r="M226" s="786" t="s">
        <v>8</v>
      </c>
      <c r="N226" s="1396" t="s">
        <v>339</v>
      </c>
      <c r="O226" s="1396"/>
      <c r="P226" s="1397"/>
      <c r="Q226" s="1408"/>
      <c r="R226" s="1409"/>
      <c r="S226" s="786" t="s">
        <v>8</v>
      </c>
      <c r="T226" s="1396" t="s">
        <v>340</v>
      </c>
      <c r="U226" s="1396"/>
      <c r="V226" s="1397"/>
      <c r="W226" s="1408"/>
      <c r="X226" s="1409"/>
      <c r="Y226" s="786" t="s">
        <v>8</v>
      </c>
      <c r="Z226" s="1396" t="s">
        <v>341</v>
      </c>
      <c r="AA226" s="1396"/>
      <c r="AB226" s="1397"/>
      <c r="AC226" s="1408"/>
      <c r="AD226" s="1409"/>
      <c r="AE226" s="788" t="s">
        <v>8</v>
      </c>
      <c r="AF226" s="1457"/>
      <c r="AG226" s="1458"/>
      <c r="AI226" s="82"/>
      <c r="AJ226" s="101"/>
      <c r="AK226" s="101"/>
      <c r="AL226" s="101"/>
      <c r="AM226" s="101"/>
      <c r="AN226" s="101"/>
      <c r="AO226" s="101"/>
      <c r="AP226" s="101"/>
      <c r="AQ226" s="101"/>
      <c r="AR226" s="101"/>
      <c r="AS226" s="101"/>
      <c r="AT226" s="101"/>
      <c r="AU226" s="101"/>
    </row>
    <row r="227" spans="1:68" s="74" customFormat="1" ht="15" customHeight="1">
      <c r="A227" s="1615"/>
      <c r="B227" s="1616"/>
      <c r="C227" s="1616"/>
      <c r="D227" s="1616"/>
      <c r="E227" s="1616"/>
      <c r="F227" s="1276"/>
      <c r="G227" s="1277"/>
      <c r="H227" s="1443" t="s">
        <v>342</v>
      </c>
      <c r="I227" s="1443"/>
      <c r="J227" s="1444"/>
      <c r="K227" s="1445"/>
      <c r="L227" s="1446"/>
      <c r="M227" s="787" t="s">
        <v>8</v>
      </c>
      <c r="N227" s="1443" t="s">
        <v>343</v>
      </c>
      <c r="O227" s="1443"/>
      <c r="P227" s="1444"/>
      <c r="Q227" s="1445"/>
      <c r="R227" s="1446"/>
      <c r="S227" s="787" t="s">
        <v>8</v>
      </c>
      <c r="T227" s="1443" t="s">
        <v>344</v>
      </c>
      <c r="U227" s="1443"/>
      <c r="V227" s="1444"/>
      <c r="W227" s="1445"/>
      <c r="X227" s="1446"/>
      <c r="Y227" s="787" t="s">
        <v>8</v>
      </c>
      <c r="Z227" s="1443" t="s">
        <v>345</v>
      </c>
      <c r="AA227" s="1443"/>
      <c r="AB227" s="1444"/>
      <c r="AC227" s="1445"/>
      <c r="AD227" s="1446"/>
      <c r="AE227" s="789" t="s">
        <v>8</v>
      </c>
      <c r="AF227" s="1457"/>
      <c r="AG227" s="1458"/>
      <c r="AI227" s="100"/>
    </row>
    <row r="228" spans="1:68" s="73" customFormat="1" ht="60" customHeight="1">
      <c r="A228" s="1615"/>
      <c r="B228" s="1616"/>
      <c r="C228" s="1616"/>
      <c r="D228" s="1616"/>
      <c r="E228" s="1616"/>
      <c r="F228" s="1402" t="s">
        <v>311</v>
      </c>
      <c r="G228" s="1403"/>
      <c r="H228" s="1456" t="s">
        <v>1112</v>
      </c>
      <c r="I228" s="1456"/>
      <c r="J228" s="1456"/>
      <c r="K228" s="1456"/>
      <c r="L228" s="1456"/>
      <c r="M228" s="1456"/>
      <c r="N228" s="1456"/>
      <c r="O228" s="1456"/>
      <c r="P228" s="1456"/>
      <c r="Q228" s="1456"/>
      <c r="R228" s="1456"/>
      <c r="S228" s="1456"/>
      <c r="T228" s="1456"/>
      <c r="U228" s="1456"/>
      <c r="V228" s="1456"/>
      <c r="W228" s="1456"/>
      <c r="X228" s="1456"/>
      <c r="Y228" s="1456"/>
      <c r="Z228" s="1456"/>
      <c r="AA228" s="1456"/>
      <c r="AB228" s="1456"/>
      <c r="AC228" s="1456"/>
      <c r="AD228" s="1456"/>
      <c r="AE228" s="1456"/>
      <c r="AF228" s="1398" t="str">
        <f>IFERROR(IF(OR(HLOOKUP($AI$235,$AJ$230:$AU$231,2,FALSE),AND($AI$235=1,$AK$231)),"○","×"),"×")</f>
        <v>×</v>
      </c>
      <c r="AG228" s="1399"/>
      <c r="AH228" s="87"/>
    </row>
    <row r="229" spans="1:68" s="73" customFormat="1" ht="20.100000000000001" hidden="1" customHeight="1">
      <c r="A229" s="1615"/>
      <c r="B229" s="1616"/>
      <c r="C229" s="1616"/>
      <c r="D229" s="1616"/>
      <c r="E229" s="1616"/>
      <c r="F229" s="1276"/>
      <c r="G229" s="1277"/>
      <c r="H229" s="1404" t="s">
        <v>997</v>
      </c>
      <c r="I229" s="1404"/>
      <c r="J229" s="1404"/>
      <c r="K229" s="1404"/>
      <c r="L229" s="1404"/>
      <c r="M229" s="1404"/>
      <c r="N229" s="1404"/>
      <c r="O229" s="1404"/>
      <c r="P229" s="1404"/>
      <c r="Q229" s="1404"/>
      <c r="R229" s="1404"/>
      <c r="S229" s="1404"/>
      <c r="T229" s="1404"/>
      <c r="U229" s="1404"/>
      <c r="V229" s="1404"/>
      <c r="W229" s="1404"/>
      <c r="X229" s="1404"/>
      <c r="Y229" s="1404"/>
      <c r="Z229" s="1404"/>
      <c r="AA229" s="1404"/>
      <c r="AB229" s="1405"/>
      <c r="AC229" s="1406"/>
      <c r="AD229" s="1406"/>
      <c r="AE229" s="1407"/>
      <c r="AF229" s="1457"/>
      <c r="AG229" s="1458"/>
      <c r="AH229" s="87"/>
      <c r="AI229" s="86" t="s">
        <v>346</v>
      </c>
      <c r="AJ229" s="139">
        <v>4</v>
      </c>
      <c r="AK229" s="962">
        <v>5</v>
      </c>
      <c r="AL229" s="962">
        <v>6</v>
      </c>
      <c r="AM229" s="962">
        <v>7</v>
      </c>
      <c r="AN229" s="962">
        <v>8</v>
      </c>
      <c r="AO229" s="962">
        <v>9</v>
      </c>
      <c r="AP229" s="962">
        <v>10</v>
      </c>
      <c r="AQ229" s="962">
        <v>11</v>
      </c>
      <c r="AR229" s="962">
        <v>12</v>
      </c>
      <c r="AS229" s="962">
        <v>1</v>
      </c>
      <c r="AT229" s="962">
        <v>2</v>
      </c>
      <c r="AU229" s="962">
        <v>3</v>
      </c>
    </row>
    <row r="230" spans="1:68" s="74" customFormat="1" ht="15" customHeight="1">
      <c r="A230" s="1615"/>
      <c r="B230" s="1616"/>
      <c r="C230" s="1616"/>
      <c r="D230" s="1616"/>
      <c r="E230" s="1616"/>
      <c r="F230" s="1276"/>
      <c r="G230" s="1277"/>
      <c r="H230" s="1459" t="str">
        <f>IF(AB229="○","昨年度","今年度")&amp;"の各月延べ利用数(20人/月が該当月)"</f>
        <v>今年度の各月延べ利用数(20人/月が該当月)</v>
      </c>
      <c r="I230" s="1459"/>
      <c r="J230" s="1459"/>
      <c r="K230" s="1459"/>
      <c r="L230" s="1459"/>
      <c r="M230" s="1459"/>
      <c r="N230" s="1459"/>
      <c r="O230" s="1459"/>
      <c r="P230" s="1459"/>
      <c r="Q230" s="1459"/>
      <c r="R230" s="1459"/>
      <c r="S230" s="1459"/>
      <c r="T230" s="1459"/>
      <c r="U230" s="1459"/>
      <c r="V230" s="1459"/>
      <c r="W230" s="1459"/>
      <c r="X230" s="1459"/>
      <c r="Y230" s="1459"/>
      <c r="Z230" s="1459"/>
      <c r="AA230" s="1459"/>
      <c r="AB230" s="1459"/>
      <c r="AC230" s="1459"/>
      <c r="AD230" s="1459"/>
      <c r="AE230" s="1460"/>
      <c r="AF230" s="1457"/>
      <c r="AG230" s="1458"/>
      <c r="AI230" s="86" t="s">
        <v>332</v>
      </c>
      <c r="AJ230" s="86">
        <v>1</v>
      </c>
      <c r="AK230" s="86">
        <v>2</v>
      </c>
      <c r="AL230" s="86">
        <v>3</v>
      </c>
      <c r="AM230" s="86">
        <v>4</v>
      </c>
      <c r="AN230" s="86">
        <v>5</v>
      </c>
      <c r="AO230" s="86">
        <v>6</v>
      </c>
      <c r="AP230" s="86">
        <v>7</v>
      </c>
      <c r="AQ230" s="86">
        <v>8</v>
      </c>
      <c r="AR230" s="86">
        <v>9</v>
      </c>
      <c r="AS230" s="86">
        <v>10</v>
      </c>
      <c r="AT230" s="86">
        <v>11</v>
      </c>
      <c r="AU230" s="86">
        <v>12</v>
      </c>
    </row>
    <row r="231" spans="1:68" s="74" customFormat="1" ht="15" customHeight="1">
      <c r="A231" s="1615"/>
      <c r="B231" s="1616"/>
      <c r="C231" s="1616"/>
      <c r="D231" s="1616"/>
      <c r="E231" s="1616"/>
      <c r="F231" s="1276"/>
      <c r="G231" s="1277"/>
      <c r="H231" s="1396" t="s">
        <v>333</v>
      </c>
      <c r="I231" s="1396"/>
      <c r="J231" s="1397"/>
      <c r="K231" s="1408"/>
      <c r="L231" s="1409"/>
      <c r="M231" s="786" t="s">
        <v>8</v>
      </c>
      <c r="N231" s="1396" t="s">
        <v>334</v>
      </c>
      <c r="O231" s="1396"/>
      <c r="P231" s="1397"/>
      <c r="Q231" s="1408"/>
      <c r="R231" s="1409"/>
      <c r="S231" s="786" t="s">
        <v>8</v>
      </c>
      <c r="T231" s="1396" t="s">
        <v>335</v>
      </c>
      <c r="U231" s="1396"/>
      <c r="V231" s="1397"/>
      <c r="W231" s="1408"/>
      <c r="X231" s="1409"/>
      <c r="Y231" s="786" t="s">
        <v>8</v>
      </c>
      <c r="Z231" s="1396" t="s">
        <v>336</v>
      </c>
      <c r="AA231" s="1396"/>
      <c r="AB231" s="1397"/>
      <c r="AC231" s="1408"/>
      <c r="AD231" s="1409"/>
      <c r="AE231" s="788" t="s">
        <v>8</v>
      </c>
      <c r="AF231" s="1457"/>
      <c r="AG231" s="1458"/>
      <c r="AI231" s="86" t="s">
        <v>337</v>
      </c>
      <c r="AJ231" s="962" t="b">
        <f>K231&gt;=20</f>
        <v>0</v>
      </c>
      <c r="AK231" s="962" t="b">
        <f>OR(Q231&gt;=20,AJ231)</f>
        <v>0</v>
      </c>
      <c r="AL231" s="962" t="b">
        <f>OR(W231&gt;=20,AK231)</f>
        <v>0</v>
      </c>
      <c r="AM231" s="962" t="b">
        <f>OR(AC231&gt;=20,AL231)</f>
        <v>0</v>
      </c>
      <c r="AN231" s="962" t="b">
        <f>OR(K232&gt;=20,AM231)</f>
        <v>0</v>
      </c>
      <c r="AO231" s="962" t="b">
        <f>OR(Q232&gt;=20,AN231)</f>
        <v>0</v>
      </c>
      <c r="AP231" s="962" t="b">
        <f>OR(W232&gt;=20,AO231)</f>
        <v>0</v>
      </c>
      <c r="AQ231" s="962" t="b">
        <f>OR(AC232&gt;=20,AP231)</f>
        <v>0</v>
      </c>
      <c r="AR231" s="962" t="b">
        <f>OR(K233&gt;=20,AQ231)</f>
        <v>0</v>
      </c>
      <c r="AS231" s="962" t="b">
        <f>OR(Q233&gt;=20,AR231)</f>
        <v>0</v>
      </c>
      <c r="AT231" s="962" t="b">
        <f>OR(W233&gt;=20,AS231)</f>
        <v>0</v>
      </c>
      <c r="AU231" s="962" t="b">
        <f>OR(AC233&gt;=20,AT231)</f>
        <v>0</v>
      </c>
    </row>
    <row r="232" spans="1:68" s="74" customFormat="1" ht="15" customHeight="1">
      <c r="A232" s="1615"/>
      <c r="B232" s="1616"/>
      <c r="C232" s="1616"/>
      <c r="D232" s="1616"/>
      <c r="E232" s="1616"/>
      <c r="F232" s="1276"/>
      <c r="G232" s="1277"/>
      <c r="H232" s="1396" t="s">
        <v>338</v>
      </c>
      <c r="I232" s="1396"/>
      <c r="J232" s="1397"/>
      <c r="K232" s="1408"/>
      <c r="L232" s="1409"/>
      <c r="M232" s="786" t="s">
        <v>8</v>
      </c>
      <c r="N232" s="1396" t="s">
        <v>339</v>
      </c>
      <c r="O232" s="1396"/>
      <c r="P232" s="1397"/>
      <c r="Q232" s="1408"/>
      <c r="R232" s="1409"/>
      <c r="S232" s="786" t="s">
        <v>8</v>
      </c>
      <c r="T232" s="1396" t="s">
        <v>340</v>
      </c>
      <c r="U232" s="1396"/>
      <c r="V232" s="1397"/>
      <c r="W232" s="1408"/>
      <c r="X232" s="1409"/>
      <c r="Y232" s="786" t="s">
        <v>8</v>
      </c>
      <c r="Z232" s="1396" t="s">
        <v>341</v>
      </c>
      <c r="AA232" s="1396"/>
      <c r="AB232" s="1397"/>
      <c r="AC232" s="1408"/>
      <c r="AD232" s="1409"/>
      <c r="AE232" s="788" t="s">
        <v>8</v>
      </c>
      <c r="AF232" s="1457"/>
      <c r="AG232" s="1458"/>
      <c r="AI232" s="82"/>
      <c r="AJ232" s="101"/>
      <c r="AK232" s="101"/>
      <c r="AL232" s="101"/>
      <c r="AM232" s="101"/>
      <c r="AN232" s="101"/>
      <c r="AO232" s="101"/>
      <c r="AP232" s="101"/>
      <c r="AQ232" s="101"/>
      <c r="AR232" s="101"/>
      <c r="AS232" s="101"/>
      <c r="AT232" s="101"/>
      <c r="AU232" s="101"/>
    </row>
    <row r="233" spans="1:68" s="74" customFormat="1" ht="15" customHeight="1">
      <c r="A233" s="1615"/>
      <c r="B233" s="1616"/>
      <c r="C233" s="1616"/>
      <c r="D233" s="1616"/>
      <c r="E233" s="1616"/>
      <c r="F233" s="1276"/>
      <c r="G233" s="1277"/>
      <c r="H233" s="1443" t="s">
        <v>342</v>
      </c>
      <c r="I233" s="1443"/>
      <c r="J233" s="1444"/>
      <c r="K233" s="1445"/>
      <c r="L233" s="1446"/>
      <c r="M233" s="787" t="s">
        <v>8</v>
      </c>
      <c r="N233" s="1443" t="s">
        <v>343</v>
      </c>
      <c r="O233" s="1443"/>
      <c r="P233" s="1444"/>
      <c r="Q233" s="1445"/>
      <c r="R233" s="1446"/>
      <c r="S233" s="787" t="s">
        <v>8</v>
      </c>
      <c r="T233" s="1443" t="s">
        <v>344</v>
      </c>
      <c r="U233" s="1443"/>
      <c r="V233" s="1444"/>
      <c r="W233" s="1445"/>
      <c r="X233" s="1446"/>
      <c r="Y233" s="787" t="s">
        <v>8</v>
      </c>
      <c r="Z233" s="1443" t="s">
        <v>345</v>
      </c>
      <c r="AA233" s="1443"/>
      <c r="AB233" s="1444"/>
      <c r="AC233" s="1445"/>
      <c r="AD233" s="1446"/>
      <c r="AE233" s="789" t="s">
        <v>8</v>
      </c>
      <c r="AF233" s="1457"/>
      <c r="AG233" s="1458"/>
      <c r="AI233" s="100"/>
    </row>
    <row r="234" spans="1:68" s="74" customFormat="1" ht="15" customHeight="1">
      <c r="A234" s="1615"/>
      <c r="B234" s="1616"/>
      <c r="C234" s="1616"/>
      <c r="D234" s="1616"/>
      <c r="E234" s="1616"/>
      <c r="F234" s="1402" t="s">
        <v>312</v>
      </c>
      <c r="G234" s="1403"/>
      <c r="H234" s="1495" t="s">
        <v>545</v>
      </c>
      <c r="I234" s="1495"/>
      <c r="J234" s="1495"/>
      <c r="K234" s="1495"/>
      <c r="L234" s="1495"/>
      <c r="M234" s="1495"/>
      <c r="N234" s="1495"/>
      <c r="O234" s="1495"/>
      <c r="P234" s="1495"/>
      <c r="Q234" s="1495"/>
      <c r="R234" s="1495"/>
      <c r="S234" s="1495"/>
      <c r="T234" s="1495"/>
      <c r="U234" s="1495"/>
      <c r="V234" s="1495"/>
      <c r="W234" s="1495"/>
      <c r="X234" s="1495"/>
      <c r="Y234" s="1495"/>
      <c r="Z234" s="1495"/>
      <c r="AA234" s="1495"/>
      <c r="AB234" s="1495"/>
      <c r="AC234" s="1495"/>
      <c r="AD234" s="1495"/>
      <c r="AE234" s="1495"/>
      <c r="AF234" s="1440" t="str">
        <f>IF(AJ235&lt;=AI235,"○","×")</f>
        <v>×</v>
      </c>
      <c r="AG234" s="1441"/>
      <c r="AH234" s="87"/>
      <c r="AI234" s="86" t="s">
        <v>347</v>
      </c>
      <c r="AJ234" s="86" t="s">
        <v>348</v>
      </c>
      <c r="AM234" s="87"/>
      <c r="BP234" s="159"/>
    </row>
    <row r="235" spans="1:68" ht="15" customHeight="1">
      <c r="A235" s="1615"/>
      <c r="B235" s="1616"/>
      <c r="C235" s="1616"/>
      <c r="D235" s="1616"/>
      <c r="E235" s="1616"/>
      <c r="F235" s="1276"/>
      <c r="G235" s="1277"/>
      <c r="H235" s="1709" t="s">
        <v>93</v>
      </c>
      <c r="I235" s="1709"/>
      <c r="J235" s="1709"/>
      <c r="K235" s="1709"/>
      <c r="L235" s="1709"/>
      <c r="M235" s="1709"/>
      <c r="N235" s="1709"/>
      <c r="O235" s="1709"/>
      <c r="P235" s="1709"/>
      <c r="Q235" s="1709"/>
      <c r="R235" s="1709"/>
      <c r="S235" s="1709"/>
      <c r="T235" s="1709"/>
      <c r="U235" s="1709"/>
      <c r="V235" s="1709"/>
      <c r="W235" s="1709"/>
      <c r="X235" s="1709"/>
      <c r="Y235" s="1709"/>
      <c r="Z235" s="1709"/>
      <c r="AA235" s="1709"/>
      <c r="AB235" s="1708"/>
      <c r="AC235" s="1708"/>
      <c r="AD235" s="1300" t="s">
        <v>92</v>
      </c>
      <c r="AE235" s="1300"/>
      <c r="AF235" s="1442"/>
      <c r="AG235" s="1278"/>
      <c r="AH235" s="74"/>
      <c r="AI235" s="94">
        <f>IFERROR(VLOOKUP($I$10,$AL$3:$AM$14,2,FALSE),0)</f>
        <v>1</v>
      </c>
      <c r="AJ235" s="94">
        <f>IFERROR(VLOOKUP($AB$235,$AL$3:$AM$14,2,FALSE),13)</f>
        <v>13</v>
      </c>
      <c r="AM235" s="74"/>
    </row>
    <row r="236" spans="1:68" ht="15" customHeight="1">
      <c r="A236" s="1615"/>
      <c r="B236" s="1616"/>
      <c r="C236" s="1616"/>
      <c r="D236" s="1616"/>
      <c r="E236" s="1616"/>
      <c r="F236" s="1276"/>
      <c r="G236" s="1277"/>
      <c r="H236" s="1766" t="s">
        <v>564</v>
      </c>
      <c r="I236" s="1766"/>
      <c r="J236" s="1766"/>
      <c r="K236" s="1766"/>
      <c r="L236" s="1766"/>
      <c r="M236" s="1766"/>
      <c r="N236" s="1766"/>
      <c r="O236" s="1766"/>
      <c r="P236" s="1766"/>
      <c r="Q236" s="1766"/>
      <c r="R236" s="1766"/>
      <c r="S236" s="1766"/>
      <c r="T236" s="1766"/>
      <c r="U236" s="1766"/>
      <c r="V236" s="1766"/>
      <c r="W236" s="1766"/>
      <c r="X236" s="1766"/>
      <c r="Y236" s="1766"/>
      <c r="Z236" s="1766"/>
      <c r="AA236" s="1766"/>
      <c r="AB236" s="1766">
        <f>【様式５】職員数算出表!G10</f>
        <v>0</v>
      </c>
      <c r="AC236" s="1766"/>
      <c r="AD236" s="1724" t="s">
        <v>563</v>
      </c>
      <c r="AE236" s="1724"/>
      <c r="AF236" s="1442"/>
      <c r="AG236" s="1278"/>
      <c r="AH236" s="74"/>
      <c r="AI236" s="74"/>
      <c r="AJ236" s="97"/>
      <c r="AM236" s="74"/>
    </row>
    <row r="237" spans="1:68" s="74" customFormat="1" ht="15" customHeight="1">
      <c r="A237" s="1615"/>
      <c r="B237" s="1616"/>
      <c r="C237" s="1616"/>
      <c r="D237" s="1616"/>
      <c r="E237" s="1616"/>
      <c r="F237" s="1276" t="s">
        <v>313</v>
      </c>
      <c r="G237" s="1277"/>
      <c r="H237" s="1495" t="s">
        <v>546</v>
      </c>
      <c r="I237" s="1495"/>
      <c r="J237" s="1495"/>
      <c r="K237" s="1495"/>
      <c r="L237" s="1495"/>
      <c r="M237" s="1495"/>
      <c r="N237" s="1495"/>
      <c r="O237" s="1495"/>
      <c r="P237" s="1495"/>
      <c r="Q237" s="1495"/>
      <c r="R237" s="1495"/>
      <c r="S237" s="1495"/>
      <c r="T237" s="1495"/>
      <c r="U237" s="1495"/>
      <c r="V237" s="1495"/>
      <c r="W237" s="1495"/>
      <c r="X237" s="1495"/>
      <c r="Y237" s="1495"/>
      <c r="Z237" s="1495"/>
      <c r="AA237" s="1495"/>
      <c r="AB237" s="1495"/>
      <c r="AC237" s="1495"/>
      <c r="AD237" s="1495"/>
      <c r="AE237" s="1495"/>
      <c r="AF237" s="1398" t="str">
        <f>IF(AJ238&lt;=AI235,"○","×")</f>
        <v>×</v>
      </c>
      <c r="AG237" s="1399"/>
      <c r="AH237" s="87"/>
      <c r="AJ237" s="86" t="s">
        <v>348</v>
      </c>
      <c r="BP237" s="159"/>
    </row>
    <row r="238" spans="1:68" s="74" customFormat="1" ht="15" customHeight="1">
      <c r="A238" s="1615"/>
      <c r="B238" s="1616"/>
      <c r="C238" s="1616"/>
      <c r="D238" s="1616"/>
      <c r="E238" s="1616"/>
      <c r="F238" s="1276"/>
      <c r="G238" s="1277"/>
      <c r="H238" s="1709" t="s">
        <v>349</v>
      </c>
      <c r="I238" s="1709"/>
      <c r="J238" s="1709"/>
      <c r="K238" s="1709"/>
      <c r="L238" s="1709"/>
      <c r="M238" s="1709"/>
      <c r="N238" s="1709"/>
      <c r="O238" s="1709"/>
      <c r="P238" s="1709"/>
      <c r="Q238" s="1709"/>
      <c r="R238" s="1709"/>
      <c r="S238" s="1709"/>
      <c r="T238" s="1709"/>
      <c r="U238" s="1709"/>
      <c r="V238" s="1709"/>
      <c r="W238" s="1709"/>
      <c r="X238" s="1709"/>
      <c r="Y238" s="1709"/>
      <c r="Z238" s="1709"/>
      <c r="AA238" s="1709"/>
      <c r="AB238" s="1708"/>
      <c r="AC238" s="1708"/>
      <c r="AD238" s="1300" t="s">
        <v>92</v>
      </c>
      <c r="AE238" s="1300"/>
      <c r="AF238" s="1400"/>
      <c r="AG238" s="1401"/>
      <c r="AI238" s="83"/>
      <c r="AJ238" s="94">
        <f>IFERROR(VLOOKUP(AB238,$AL$3:$AM$14,2,FALSE),13)</f>
        <v>13</v>
      </c>
      <c r="AK238" s="87"/>
      <c r="AL238" s="87"/>
      <c r="AM238" s="87"/>
      <c r="BP238" s="159"/>
    </row>
    <row r="239" spans="1:68" s="74" customFormat="1" ht="15" customHeight="1">
      <c r="A239" s="1615"/>
      <c r="B239" s="1616"/>
      <c r="C239" s="1616"/>
      <c r="D239" s="1616"/>
      <c r="E239" s="1616"/>
      <c r="F239" s="1402" t="s">
        <v>454</v>
      </c>
      <c r="G239" s="1403"/>
      <c r="H239" s="1700" t="s">
        <v>459</v>
      </c>
      <c r="I239" s="1700"/>
      <c r="J239" s="1700"/>
      <c r="K239" s="1700"/>
      <c r="L239" s="1700"/>
      <c r="M239" s="1700"/>
      <c r="N239" s="1700"/>
      <c r="O239" s="1700"/>
      <c r="P239" s="1700"/>
      <c r="Q239" s="1700"/>
      <c r="R239" s="1700"/>
      <c r="S239" s="1700"/>
      <c r="T239" s="1700"/>
      <c r="U239" s="1700"/>
      <c r="V239" s="1700"/>
      <c r="W239" s="1700"/>
      <c r="X239" s="1700"/>
      <c r="Y239" s="1700"/>
      <c r="Z239" s="1700"/>
      <c r="AA239" s="1700"/>
      <c r="AB239" s="1700"/>
      <c r="AC239" s="1700"/>
      <c r="AD239" s="1700"/>
      <c r="AE239" s="1700"/>
      <c r="AF239" s="1440" t="str">
        <f>IF(AND(AI240,AI242,AI243,AI244),"○","×")</f>
        <v>×</v>
      </c>
      <c r="AG239" s="1441"/>
      <c r="AI239" s="83"/>
      <c r="AK239" s="87"/>
      <c r="AL239" s="87"/>
      <c r="AM239" s="87"/>
      <c r="BP239" s="159"/>
    </row>
    <row r="240" spans="1:68" s="74" customFormat="1" ht="15" customHeight="1">
      <c r="A240" s="1615"/>
      <c r="B240" s="1616"/>
      <c r="C240" s="1616"/>
      <c r="D240" s="1616"/>
      <c r="E240" s="1616"/>
      <c r="F240" s="1276"/>
      <c r="G240" s="1277"/>
      <c r="H240" s="1706" t="s">
        <v>455</v>
      </c>
      <c r="I240" s="1759" t="s">
        <v>1004</v>
      </c>
      <c r="J240" s="1759"/>
      <c r="K240" s="1759"/>
      <c r="L240" s="1759"/>
      <c r="M240" s="1759"/>
      <c r="N240" s="1759"/>
      <c r="O240" s="1759"/>
      <c r="P240" s="1759"/>
      <c r="Q240" s="1759"/>
      <c r="R240" s="1759"/>
      <c r="S240" s="1759"/>
      <c r="T240" s="1759"/>
      <c r="U240" s="1759"/>
      <c r="V240" s="1759"/>
      <c r="W240" s="1759"/>
      <c r="X240" s="1759"/>
      <c r="Y240" s="1759"/>
      <c r="Z240" s="1759"/>
      <c r="AA240" s="1760"/>
      <c r="AB240" s="1761" t="str">
        <f>IF(ISTEXT(P241),"○","×")</f>
        <v>×</v>
      </c>
      <c r="AC240" s="1761"/>
      <c r="AD240" s="1761"/>
      <c r="AE240" s="1761"/>
      <c r="AF240" s="1442"/>
      <c r="AG240" s="1278"/>
      <c r="AI240" s="962" t="b">
        <f>AB240="○"</f>
        <v>0</v>
      </c>
      <c r="AK240" s="87"/>
      <c r="AL240" s="87"/>
      <c r="AM240" s="87"/>
      <c r="BP240" s="159"/>
    </row>
    <row r="241" spans="1:68" s="74" customFormat="1" ht="15" customHeight="1">
      <c r="A241" s="1615"/>
      <c r="B241" s="1616"/>
      <c r="C241" s="1616"/>
      <c r="D241" s="1616"/>
      <c r="E241" s="1616"/>
      <c r="F241" s="1276"/>
      <c r="G241" s="1277"/>
      <c r="H241" s="1707"/>
      <c r="I241" s="1696" t="s">
        <v>457</v>
      </c>
      <c r="J241" s="1696"/>
      <c r="K241" s="1696"/>
      <c r="L241" s="1696"/>
      <c r="M241" s="1696"/>
      <c r="N241" s="1696"/>
      <c r="O241" s="1696"/>
      <c r="P241" s="1697"/>
      <c r="Q241" s="1697"/>
      <c r="R241" s="1697"/>
      <c r="S241" s="1697"/>
      <c r="T241" s="1697"/>
      <c r="U241" s="1697"/>
      <c r="V241" s="1697"/>
      <c r="W241" s="1697"/>
      <c r="X241" s="1697"/>
      <c r="Y241" s="1697"/>
      <c r="Z241" s="1697"/>
      <c r="AA241" s="1698"/>
      <c r="AB241" s="1696"/>
      <c r="AC241" s="1696"/>
      <c r="AD241" s="1696"/>
      <c r="AE241" s="1696"/>
      <c r="AF241" s="1442"/>
      <c r="AG241" s="1278"/>
      <c r="AI241" s="83"/>
      <c r="AK241" s="87"/>
      <c r="AL241" s="87"/>
      <c r="AM241" s="87"/>
      <c r="BP241" s="159"/>
    </row>
    <row r="242" spans="1:68" s="74" customFormat="1" ht="24.95" customHeight="1">
      <c r="A242" s="1615"/>
      <c r="B242" s="1616"/>
      <c r="C242" s="1616"/>
      <c r="D242" s="1616"/>
      <c r="E242" s="1616"/>
      <c r="F242" s="1276"/>
      <c r="G242" s="1277"/>
      <c r="H242" s="1277" t="s">
        <v>456</v>
      </c>
      <c r="I242" s="1389" t="s">
        <v>971</v>
      </c>
      <c r="J242" s="1389"/>
      <c r="K242" s="1389"/>
      <c r="L242" s="1389"/>
      <c r="M242" s="1389"/>
      <c r="N242" s="1389"/>
      <c r="O242" s="1389"/>
      <c r="P242" s="1389"/>
      <c r="Q242" s="1389"/>
      <c r="R242" s="1389"/>
      <c r="S242" s="1389"/>
      <c r="T242" s="1389"/>
      <c r="U242" s="1389"/>
      <c r="V242" s="1389"/>
      <c r="W242" s="1389"/>
      <c r="X242" s="1389"/>
      <c r="Y242" s="1389"/>
      <c r="Z242" s="1389"/>
      <c r="AA242" s="1758"/>
      <c r="AB242" s="1300" t="str">
        <f>IF(AI243,'(別紙7)主幹教諭'!D9,"×")</f>
        <v>×</v>
      </c>
      <c r="AC242" s="1300"/>
      <c r="AD242" s="1300"/>
      <c r="AE242" s="1300"/>
      <c r="AF242" s="1442"/>
      <c r="AG242" s="1278"/>
      <c r="AI242" s="962" t="b">
        <f>AB242="○"</f>
        <v>0</v>
      </c>
      <c r="AJ242" s="86" t="s">
        <v>348</v>
      </c>
      <c r="AK242" s="87"/>
      <c r="AL242" s="87"/>
      <c r="AM242" s="87"/>
      <c r="BP242" s="159"/>
    </row>
    <row r="243" spans="1:68" s="74" customFormat="1" ht="15" customHeight="1">
      <c r="A243" s="1615"/>
      <c r="B243" s="1616"/>
      <c r="C243" s="1616"/>
      <c r="D243" s="1616"/>
      <c r="E243" s="1616"/>
      <c r="F243" s="1276"/>
      <c r="G243" s="1277"/>
      <c r="H243" s="1277"/>
      <c r="I243" s="1300" t="s">
        <v>618</v>
      </c>
      <c r="J243" s="1300"/>
      <c r="K243" s="1300"/>
      <c r="L243" s="1300"/>
      <c r="M243" s="1300"/>
      <c r="N243" s="1300"/>
      <c r="O243" s="1300"/>
      <c r="P243" s="1300" t="str">
        <f>'(別紙7)主幹教諭'!I9</f>
        <v/>
      </c>
      <c r="Q243" s="1300"/>
      <c r="R243" s="1300"/>
      <c r="S243" s="1300"/>
      <c r="T243" s="1300"/>
      <c r="U243" s="1300"/>
      <c r="V243" s="1300"/>
      <c r="W243" s="1300"/>
      <c r="X243" s="1300"/>
      <c r="Y243" s="1300"/>
      <c r="Z243" s="1300"/>
      <c r="AA243" s="950" t="s">
        <v>515</v>
      </c>
      <c r="AB243" s="1300"/>
      <c r="AC243" s="1300"/>
      <c r="AD243" s="1300"/>
      <c r="AE243" s="1300"/>
      <c r="AF243" s="1442"/>
      <c r="AG243" s="1278"/>
      <c r="AI243" s="962" t="b">
        <f>AJ243&lt;=AI235</f>
        <v>0</v>
      </c>
      <c r="AJ243" s="94">
        <f>IFERROR(VLOOKUP(P243,$AL$3:$AM$14,2,FALSE),13)</f>
        <v>13</v>
      </c>
      <c r="AK243" s="87"/>
      <c r="AL243" s="87"/>
      <c r="AM243" s="87"/>
      <c r="BP243" s="159"/>
    </row>
    <row r="244" spans="1:68" s="74" customFormat="1" ht="50.25" customHeight="1">
      <c r="A244" s="1615"/>
      <c r="B244" s="1616"/>
      <c r="C244" s="1616"/>
      <c r="D244" s="1616"/>
      <c r="E244" s="1616"/>
      <c r="F244" s="1276"/>
      <c r="G244" s="1277"/>
      <c r="H244" s="1706" t="s">
        <v>458</v>
      </c>
      <c r="I244" s="1763" t="s">
        <v>1107</v>
      </c>
      <c r="J244" s="1763"/>
      <c r="K244" s="1763"/>
      <c r="L244" s="1763"/>
      <c r="M244" s="1763"/>
      <c r="N244" s="1763"/>
      <c r="O244" s="1763"/>
      <c r="P244" s="1763"/>
      <c r="Q244" s="1763"/>
      <c r="R244" s="1763"/>
      <c r="S244" s="1763"/>
      <c r="T244" s="1763"/>
      <c r="U244" s="1763"/>
      <c r="V244" s="1763"/>
      <c r="W244" s="1764"/>
      <c r="X244" s="1764"/>
      <c r="Y244" s="1764"/>
      <c r="Z244" s="1764"/>
      <c r="AA244" s="1765"/>
      <c r="AB244" s="1761" t="str">
        <f>IF(AND(OR(W244="編成・実施している",W244="編成中"),ISTEXT(P245)),"○","×")</f>
        <v>×</v>
      </c>
      <c r="AC244" s="1761"/>
      <c r="AD244" s="1761"/>
      <c r="AE244" s="1761"/>
      <c r="AF244" s="1442"/>
      <c r="AG244" s="1278"/>
      <c r="AI244" s="962" t="b">
        <f>AB244="○"</f>
        <v>0</v>
      </c>
      <c r="AK244" s="87"/>
      <c r="AL244" s="87"/>
      <c r="AM244" s="87"/>
      <c r="BP244" s="159"/>
    </row>
    <row r="245" spans="1:68" s="74" customFormat="1" ht="42" customHeight="1">
      <c r="A245" s="1615"/>
      <c r="B245" s="1616"/>
      <c r="C245" s="1616"/>
      <c r="D245" s="1616"/>
      <c r="E245" s="1616"/>
      <c r="F245" s="1340"/>
      <c r="G245" s="1341"/>
      <c r="H245" s="1341"/>
      <c r="I245" s="1762" t="str">
        <f>IF(OR(W244="",W244="×"),"5歳児から小学校1年生の2年間(2年以上を含む。）のカリキュラムの例示",(IF(W244="編成・実施している","5歳児から小学校1年生の2年間(2年以上を含む。）のカリキュラムの例示","編成に係るスケジュール等を記載")))</f>
        <v>5歳児から小学校1年生の2年間(2年以上を含む。）のカリキュラムの例示</v>
      </c>
      <c r="J245" s="1762"/>
      <c r="K245" s="1762"/>
      <c r="L245" s="1762"/>
      <c r="M245" s="1762"/>
      <c r="N245" s="1762"/>
      <c r="O245" s="1762"/>
      <c r="P245" s="1767"/>
      <c r="Q245" s="1767"/>
      <c r="R245" s="1767"/>
      <c r="S245" s="1767"/>
      <c r="T245" s="1767"/>
      <c r="U245" s="1767"/>
      <c r="V245" s="1767"/>
      <c r="W245" s="1767"/>
      <c r="X245" s="1767"/>
      <c r="Y245" s="1767"/>
      <c r="Z245" s="1767"/>
      <c r="AA245" s="1768"/>
      <c r="AB245" s="1315"/>
      <c r="AC245" s="1315"/>
      <c r="AD245" s="1315"/>
      <c r="AE245" s="1315"/>
      <c r="AF245" s="1705"/>
      <c r="AG245" s="1342"/>
      <c r="AI245" s="1219" t="s">
        <v>1119</v>
      </c>
      <c r="AK245" s="87"/>
      <c r="AL245" s="87"/>
      <c r="AM245" s="87"/>
      <c r="BP245" s="159"/>
    </row>
    <row r="246" spans="1:68" s="74" customFormat="1" ht="42" customHeight="1">
      <c r="A246" s="1615"/>
      <c r="B246" s="1616"/>
      <c r="C246" s="1616"/>
      <c r="D246" s="1616"/>
      <c r="E246" s="1616"/>
      <c r="F246" s="1776" t="s">
        <v>1108</v>
      </c>
      <c r="G246" s="1777"/>
      <c r="H246" s="1781" t="s">
        <v>1109</v>
      </c>
      <c r="I246" s="1782"/>
      <c r="J246" s="1782"/>
      <c r="K246" s="1782"/>
      <c r="L246" s="1782"/>
      <c r="M246" s="1782"/>
      <c r="N246" s="1782"/>
      <c r="O246" s="1782"/>
      <c r="P246" s="1782"/>
      <c r="Q246" s="1782"/>
      <c r="R246" s="1782"/>
      <c r="S246" s="1782"/>
      <c r="T246" s="1782"/>
      <c r="U246" s="1782"/>
      <c r="V246" s="1782"/>
      <c r="W246" s="1782"/>
      <c r="X246" s="1782"/>
      <c r="Y246" s="1782"/>
      <c r="Z246" s="1782"/>
      <c r="AA246" s="1782"/>
      <c r="AB246" s="1782"/>
      <c r="AC246" s="1782"/>
      <c r="AD246" s="1782"/>
      <c r="AE246" s="1782"/>
      <c r="AF246" s="1776" t="str">
        <f>IF(AI248,"○","×")</f>
        <v>×</v>
      </c>
      <c r="AG246" s="1783"/>
      <c r="AH246" s="1202"/>
      <c r="AI246" s="1218" t="s">
        <v>1120</v>
      </c>
      <c r="AK246" s="87"/>
      <c r="AL246" s="87"/>
      <c r="AM246" s="87"/>
      <c r="BP246" s="159"/>
    </row>
    <row r="247" spans="1:68" s="74" customFormat="1" ht="51" customHeight="1">
      <c r="A247" s="1615"/>
      <c r="B247" s="1616"/>
      <c r="C247" s="1616"/>
      <c r="D247" s="1616"/>
      <c r="E247" s="1616"/>
      <c r="F247" s="1778"/>
      <c r="G247" s="1516"/>
      <c r="H247" s="1786" t="s">
        <v>1110</v>
      </c>
      <c r="I247" s="1786"/>
      <c r="J247" s="1786"/>
      <c r="K247" s="1786"/>
      <c r="L247" s="1786"/>
      <c r="M247" s="1786"/>
      <c r="N247" s="1786"/>
      <c r="O247" s="1786"/>
      <c r="P247" s="1786"/>
      <c r="Q247" s="1786"/>
      <c r="R247" s="1786"/>
      <c r="S247" s="1786"/>
      <c r="T247" s="1786"/>
      <c r="U247" s="1786"/>
      <c r="V247" s="1786"/>
      <c r="W247" s="1786"/>
      <c r="X247" s="1786"/>
      <c r="Y247" s="1786"/>
      <c r="Z247" s="1786"/>
      <c r="AA247" s="1786"/>
      <c r="AB247" s="1786"/>
      <c r="AC247" s="1786"/>
      <c r="AD247" s="1786"/>
      <c r="AE247" s="1786"/>
      <c r="AF247" s="1778"/>
      <c r="AG247" s="1784"/>
      <c r="AH247" s="1202"/>
      <c r="AI247" s="1220" t="s">
        <v>130</v>
      </c>
      <c r="AK247" s="87"/>
      <c r="AL247" s="87"/>
      <c r="AM247" s="87"/>
      <c r="BP247" s="159"/>
    </row>
    <row r="248" spans="1:68" s="74" customFormat="1" ht="18.75" customHeight="1">
      <c r="A248" s="1617"/>
      <c r="B248" s="1618"/>
      <c r="C248" s="1618"/>
      <c r="D248" s="1618"/>
      <c r="E248" s="1618"/>
      <c r="F248" s="1779"/>
      <c r="G248" s="1780"/>
      <c r="H248" s="1210"/>
      <c r="I248" s="1210"/>
      <c r="J248" s="1210"/>
      <c r="K248" s="1210"/>
      <c r="L248" s="1210"/>
      <c r="M248" s="1210"/>
      <c r="N248" s="1210"/>
      <c r="O248" s="1210"/>
      <c r="P248" s="1210"/>
      <c r="Q248" s="1210"/>
      <c r="R248" s="1210"/>
      <c r="S248" s="1210"/>
      <c r="T248" s="1210"/>
      <c r="U248" s="1210"/>
      <c r="V248" s="1210"/>
      <c r="W248" s="1210"/>
      <c r="X248" s="1210"/>
      <c r="Y248" s="1210"/>
      <c r="Z248" s="1210"/>
      <c r="AA248" s="1210"/>
      <c r="AB248" s="1787"/>
      <c r="AC248" s="1787"/>
      <c r="AD248" s="1788"/>
      <c r="AE248" s="1788"/>
      <c r="AF248" s="1779"/>
      <c r="AG248" s="1785"/>
      <c r="AH248" s="1202"/>
      <c r="AI248" s="1209" t="b">
        <f>AB248="○"</f>
        <v>0</v>
      </c>
      <c r="AK248" s="87"/>
      <c r="AL248" s="87"/>
      <c r="AM248" s="87"/>
      <c r="BP248" s="159"/>
    </row>
    <row r="249" spans="1:68" s="1202" customFormat="1" ht="45" customHeight="1">
      <c r="A249" s="1222"/>
      <c r="B249" s="1222"/>
      <c r="C249" s="1222"/>
      <c r="D249" s="1222"/>
      <c r="E249" s="1222"/>
      <c r="F249" s="1789" t="s">
        <v>1143</v>
      </c>
      <c r="G249" s="1790"/>
      <c r="H249" s="1791" t="s">
        <v>1144</v>
      </c>
      <c r="I249" s="1791"/>
      <c r="J249" s="1791"/>
      <c r="K249" s="1791"/>
      <c r="L249" s="1791"/>
      <c r="M249" s="1791"/>
      <c r="N249" s="1791"/>
      <c r="O249" s="1791"/>
      <c r="P249" s="1791"/>
      <c r="Q249" s="1791"/>
      <c r="R249" s="1791"/>
      <c r="S249" s="1791"/>
      <c r="T249" s="1791"/>
      <c r="U249" s="1791"/>
      <c r="V249" s="1791"/>
      <c r="W249" s="1791"/>
      <c r="X249" s="1791"/>
      <c r="Y249" s="1791"/>
      <c r="Z249" s="1791"/>
      <c r="AA249" s="1791"/>
      <c r="AB249" s="1791"/>
      <c r="AC249" s="1791"/>
      <c r="AD249" s="1791"/>
      <c r="AE249" s="1791"/>
      <c r="AF249" s="1769"/>
      <c r="AG249" s="1770"/>
      <c r="AI249" s="1771" t="b">
        <f>AF249="○"</f>
        <v>0</v>
      </c>
      <c r="AJ249" s="1773"/>
    </row>
    <row r="250" spans="1:68" s="1202" customFormat="1" ht="45" customHeight="1">
      <c r="A250" s="1222"/>
      <c r="B250" s="1222"/>
      <c r="C250" s="1222"/>
      <c r="D250" s="1222"/>
      <c r="E250" s="1222"/>
      <c r="F250" s="1779"/>
      <c r="G250" s="1780"/>
      <c r="H250" s="1792"/>
      <c r="I250" s="1792"/>
      <c r="J250" s="1792"/>
      <c r="K250" s="1792"/>
      <c r="L250" s="1792"/>
      <c r="M250" s="1792"/>
      <c r="N250" s="1792"/>
      <c r="O250" s="1792"/>
      <c r="P250" s="1792"/>
      <c r="Q250" s="1792"/>
      <c r="R250" s="1792"/>
      <c r="S250" s="1792"/>
      <c r="T250" s="1792"/>
      <c r="U250" s="1792"/>
      <c r="V250" s="1792"/>
      <c r="W250" s="1792"/>
      <c r="X250" s="1792"/>
      <c r="Y250" s="1792"/>
      <c r="Z250" s="1792"/>
      <c r="AA250" s="1792"/>
      <c r="AB250" s="1792"/>
      <c r="AC250" s="1792"/>
      <c r="AD250" s="1792"/>
      <c r="AE250" s="1792"/>
      <c r="AF250" s="1546"/>
      <c r="AG250" s="1548"/>
      <c r="AI250" s="1772"/>
      <c r="AJ250" s="1773"/>
    </row>
    <row r="251" spans="1:68" ht="24.95" customHeight="1">
      <c r="A251" s="1298" t="s">
        <v>67</v>
      </c>
      <c r="B251" s="1298"/>
      <c r="C251" s="1298"/>
      <c r="D251" s="1298"/>
      <c r="E251" s="1298"/>
      <c r="F251" s="1455" t="s">
        <v>578</v>
      </c>
      <c r="G251" s="1432"/>
      <c r="H251" s="1432"/>
      <c r="I251" s="1432"/>
      <c r="J251" s="1432"/>
      <c r="K251" s="1432"/>
      <c r="L251" s="1432"/>
      <c r="M251" s="1432"/>
      <c r="N251" s="1432"/>
      <c r="O251" s="1432"/>
      <c r="P251" s="1432"/>
      <c r="Q251" s="1432"/>
      <c r="R251" s="1432"/>
      <c r="S251" s="1432"/>
      <c r="T251" s="1432"/>
      <c r="U251" s="1432"/>
      <c r="V251" s="1432"/>
      <c r="W251" s="1432"/>
      <c r="X251" s="1432"/>
      <c r="Y251" s="1432"/>
      <c r="Z251" s="1432"/>
      <c r="AA251" s="1432"/>
      <c r="AB251" s="1432"/>
      <c r="AC251" s="1432"/>
      <c r="AD251" s="1432"/>
      <c r="AE251" s="1432"/>
      <c r="AF251" s="1432"/>
      <c r="AG251" s="1433"/>
      <c r="AH251" s="74"/>
      <c r="AI251" s="83"/>
    </row>
    <row r="252" spans="1:68" s="74" customFormat="1" ht="45" customHeight="1">
      <c r="A252" s="1300"/>
      <c r="B252" s="1300"/>
      <c r="C252" s="1300"/>
      <c r="D252" s="1300"/>
      <c r="E252" s="1300"/>
      <c r="F252" s="1638" t="s">
        <v>538</v>
      </c>
      <c r="G252" s="1389"/>
      <c r="H252" s="1389"/>
      <c r="I252" s="1389"/>
      <c r="J252" s="1389"/>
      <c r="K252" s="1389"/>
      <c r="L252" s="1389"/>
      <c r="M252" s="1389"/>
      <c r="N252" s="1389"/>
      <c r="O252" s="1389"/>
      <c r="P252" s="1389"/>
      <c r="Q252" s="1389"/>
      <c r="R252" s="1389"/>
      <c r="S252" s="1389"/>
      <c r="T252" s="1389"/>
      <c r="U252" s="1389"/>
      <c r="V252" s="1389"/>
      <c r="W252" s="1389"/>
      <c r="X252" s="1389"/>
      <c r="Y252" s="1389"/>
      <c r="Z252" s="1389"/>
      <c r="AA252" s="1389"/>
      <c r="AB252" s="1389"/>
      <c r="AC252" s="1389"/>
      <c r="AD252" s="1389"/>
      <c r="AE252" s="1389"/>
      <c r="AF252" s="1389"/>
      <c r="AG252" s="1639"/>
      <c r="AI252" s="83"/>
      <c r="AJ252" s="87"/>
      <c r="AK252" s="87"/>
      <c r="AL252" s="87"/>
      <c r="AM252" s="87"/>
      <c r="AN252" s="159"/>
      <c r="AO252" s="159"/>
      <c r="AP252" s="159"/>
      <c r="AQ252" s="159"/>
      <c r="AR252" s="159"/>
      <c r="AS252" s="159"/>
      <c r="AT252" s="159"/>
      <c r="AU252" s="159"/>
      <c r="AV252" s="159"/>
      <c r="AW252" s="159"/>
      <c r="AX252" s="159"/>
      <c r="AY252" s="159"/>
      <c r="AZ252" s="159"/>
      <c r="BA252" s="159"/>
      <c r="BB252" s="159"/>
      <c r="BC252" s="159"/>
      <c r="BD252" s="159"/>
      <c r="BE252" s="159"/>
      <c r="BF252" s="159"/>
      <c r="BG252" s="159"/>
      <c r="BH252" s="159"/>
      <c r="BI252" s="159"/>
      <c r="BJ252" s="159"/>
      <c r="BK252" s="159"/>
      <c r="BL252" s="159"/>
      <c r="BM252" s="159"/>
      <c r="BN252" s="159"/>
    </row>
    <row r="253" spans="1:68" s="74" customFormat="1" ht="50.1" customHeight="1">
      <c r="A253" s="1300"/>
      <c r="B253" s="1300"/>
      <c r="C253" s="1300"/>
      <c r="D253" s="1300"/>
      <c r="E253" s="1300"/>
      <c r="F253" s="1638" t="s">
        <v>970</v>
      </c>
      <c r="G253" s="1389"/>
      <c r="H253" s="1389"/>
      <c r="I253" s="1389"/>
      <c r="J253" s="1389"/>
      <c r="K253" s="1389"/>
      <c r="L253" s="1389"/>
      <c r="M253" s="1389"/>
      <c r="N253" s="1389"/>
      <c r="O253" s="1389"/>
      <c r="P253" s="1389"/>
      <c r="Q253" s="1389"/>
      <c r="R253" s="1389"/>
      <c r="S253" s="1389"/>
      <c r="T253" s="1389"/>
      <c r="U253" s="1389"/>
      <c r="V253" s="1389"/>
      <c r="W253" s="1389"/>
      <c r="X253" s="1389"/>
      <c r="Y253" s="1389"/>
      <c r="Z253" s="1389"/>
      <c r="AA253" s="1389"/>
      <c r="AB253" s="1389"/>
      <c r="AC253" s="1389"/>
      <c r="AD253" s="1389"/>
      <c r="AE253" s="1389"/>
      <c r="AF253" s="1389"/>
      <c r="AG253" s="1639"/>
      <c r="AI253" s="83"/>
      <c r="AJ253" s="87"/>
      <c r="AK253" s="87"/>
      <c r="AL253" s="87"/>
      <c r="AM253" s="87"/>
      <c r="AN253" s="159"/>
      <c r="AO253" s="159"/>
      <c r="AP253" s="159"/>
      <c r="AQ253" s="159"/>
      <c r="AR253" s="159"/>
      <c r="AS253" s="159"/>
      <c r="AT253" s="159"/>
      <c r="AU253" s="159"/>
      <c r="AV253" s="159"/>
      <c r="AW253" s="159"/>
      <c r="AX253" s="159"/>
      <c r="AY253" s="159"/>
      <c r="AZ253" s="159"/>
      <c r="BA253" s="159"/>
      <c r="BB253" s="159"/>
      <c r="BC253" s="159"/>
      <c r="BD253" s="159"/>
      <c r="BE253" s="159"/>
      <c r="BF253" s="159"/>
      <c r="BG253" s="159"/>
      <c r="BH253" s="159"/>
      <c r="BI253" s="159"/>
      <c r="BJ253" s="159"/>
      <c r="BK253" s="159"/>
      <c r="BL253" s="159"/>
      <c r="BM253" s="159"/>
      <c r="BN253" s="159"/>
    </row>
    <row r="254" spans="1:68" s="74" customFormat="1" ht="38.1" customHeight="1">
      <c r="A254" s="1300"/>
      <c r="B254" s="1300"/>
      <c r="C254" s="1300"/>
      <c r="D254" s="1300"/>
      <c r="E254" s="1300"/>
      <c r="F254" s="1638" t="s">
        <v>1146</v>
      </c>
      <c r="G254" s="1389"/>
      <c r="H254" s="1389"/>
      <c r="I254" s="1389"/>
      <c r="J254" s="1389"/>
      <c r="K254" s="1389"/>
      <c r="L254" s="1389"/>
      <c r="M254" s="1389"/>
      <c r="N254" s="1389"/>
      <c r="O254" s="1389"/>
      <c r="P254" s="1389"/>
      <c r="Q254" s="1389"/>
      <c r="R254" s="1389"/>
      <c r="S254" s="1389"/>
      <c r="T254" s="1389"/>
      <c r="U254" s="1389"/>
      <c r="V254" s="1389"/>
      <c r="W254" s="1389"/>
      <c r="X254" s="1389"/>
      <c r="Y254" s="1389"/>
      <c r="Z254" s="1389"/>
      <c r="AA254" s="1389"/>
      <c r="AB254" s="1389"/>
      <c r="AC254" s="1389"/>
      <c r="AD254" s="1389"/>
      <c r="AE254" s="1389"/>
      <c r="AF254" s="1389"/>
      <c r="AG254" s="1389"/>
      <c r="AI254" s="83"/>
      <c r="AJ254" s="87"/>
      <c r="AK254" s="87"/>
      <c r="AL254" s="87"/>
      <c r="AM254" s="87"/>
      <c r="AN254" s="159"/>
      <c r="AO254" s="159"/>
      <c r="AP254" s="159"/>
      <c r="AQ254" s="159"/>
      <c r="AR254" s="159"/>
      <c r="AS254" s="159"/>
      <c r="AT254" s="159"/>
      <c r="AU254" s="159"/>
      <c r="AV254" s="159"/>
      <c r="AW254" s="159"/>
      <c r="AX254" s="159"/>
      <c r="AY254" s="159"/>
      <c r="AZ254" s="159"/>
      <c r="BA254" s="159"/>
      <c r="BB254" s="159"/>
      <c r="BC254" s="159"/>
      <c r="BD254" s="159"/>
      <c r="BE254" s="159"/>
      <c r="BF254" s="159"/>
      <c r="BG254" s="159"/>
      <c r="BH254" s="159"/>
      <c r="BI254" s="159"/>
      <c r="BJ254" s="159"/>
      <c r="BK254" s="159"/>
      <c r="BL254" s="159"/>
      <c r="BM254" s="159"/>
      <c r="BN254" s="159"/>
    </row>
    <row r="255" spans="1:68" s="1202" customFormat="1" ht="36.950000000000003" customHeight="1">
      <c r="A255" s="1223"/>
      <c r="B255" s="1223"/>
      <c r="C255" s="1223"/>
      <c r="D255" s="1223"/>
      <c r="E255" s="1223"/>
      <c r="F255" s="1774" t="s">
        <v>1145</v>
      </c>
      <c r="G255" s="1775"/>
      <c r="H255" s="1775"/>
      <c r="I255" s="1775"/>
      <c r="J255" s="1775"/>
      <c r="K255" s="1775"/>
      <c r="L255" s="1775"/>
      <c r="M255" s="1775"/>
      <c r="N255" s="1775"/>
      <c r="O255" s="1775"/>
      <c r="P255" s="1775"/>
      <c r="Q255" s="1775"/>
      <c r="R255" s="1775"/>
      <c r="S255" s="1775"/>
      <c r="T255" s="1775"/>
      <c r="U255" s="1775"/>
      <c r="V255" s="1775"/>
      <c r="W255" s="1775"/>
      <c r="X255" s="1775"/>
      <c r="Y255" s="1775"/>
      <c r="Z255" s="1775"/>
      <c r="AA255" s="1775"/>
      <c r="AB255" s="1775"/>
      <c r="AC255" s="1775"/>
      <c r="AD255" s="1775"/>
      <c r="AE255" s="1775"/>
      <c r="AF255" s="1775"/>
      <c r="AG255" s="1775"/>
      <c r="AH255" s="1204"/>
    </row>
    <row r="256" spans="1:68" ht="24.95" customHeight="1">
      <c r="A256" s="1432" t="s">
        <v>543</v>
      </c>
      <c r="B256" s="1432"/>
      <c r="C256" s="1432"/>
      <c r="D256" s="1432"/>
      <c r="E256" s="1432"/>
      <c r="F256" s="1432"/>
      <c r="G256" s="1432"/>
      <c r="H256" s="1432"/>
      <c r="I256" s="1432"/>
      <c r="J256" s="1432"/>
      <c r="K256" s="1432"/>
      <c r="L256" s="1432"/>
      <c r="M256" s="1432"/>
      <c r="N256" s="1432"/>
      <c r="O256" s="1432"/>
      <c r="P256" s="1432"/>
      <c r="Q256" s="1432"/>
      <c r="R256" s="1432"/>
      <c r="S256" s="1432"/>
      <c r="T256" s="1432"/>
      <c r="U256" s="1432"/>
      <c r="V256" s="1432"/>
      <c r="W256" s="1432"/>
      <c r="X256" s="1432"/>
      <c r="Y256" s="1432"/>
      <c r="Z256" s="1432"/>
      <c r="AA256" s="1432"/>
      <c r="AB256" s="1432"/>
      <c r="AC256" s="1432"/>
      <c r="AD256" s="1432"/>
      <c r="AE256" s="1432"/>
      <c r="AF256" s="1432"/>
      <c r="AG256" s="1432"/>
      <c r="AI256" s="938"/>
    </row>
    <row r="257" spans="1:68" s="74" customFormat="1" ht="24.95" customHeight="1" thickBot="1">
      <c r="A257" s="1410" t="s">
        <v>544</v>
      </c>
      <c r="B257" s="1410"/>
      <c r="C257" s="1410"/>
      <c r="D257" s="1410"/>
      <c r="E257" s="1410"/>
      <c r="F257" s="1410"/>
      <c r="G257" s="1410"/>
      <c r="H257" s="1410"/>
      <c r="I257" s="1410"/>
      <c r="J257" s="1410"/>
      <c r="K257" s="1410"/>
      <c r="L257" s="1410"/>
      <c r="M257" s="1410"/>
      <c r="N257" s="1410"/>
      <c r="O257" s="1410"/>
      <c r="P257" s="1410"/>
      <c r="Q257" s="1410"/>
      <c r="R257" s="1410"/>
      <c r="S257" s="1410"/>
      <c r="T257" s="1410"/>
      <c r="U257" s="1410"/>
      <c r="V257" s="1410"/>
      <c r="W257" s="1410"/>
      <c r="X257" s="1410"/>
      <c r="Y257" s="1410"/>
      <c r="Z257" s="1410"/>
      <c r="AA257" s="1410"/>
      <c r="AB257" s="1410"/>
      <c r="AC257" s="1410"/>
      <c r="AD257" s="1410"/>
      <c r="AE257" s="1410"/>
      <c r="AF257" s="1410"/>
      <c r="AG257" s="1410"/>
      <c r="AH257" s="87"/>
      <c r="AI257" s="938"/>
      <c r="AJ257" s="87"/>
      <c r="AK257" s="87"/>
      <c r="AL257" s="87"/>
      <c r="AM257" s="87"/>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row>
    <row r="258" spans="1:68" s="74" customFormat="1" ht="24.95" hidden="1" customHeight="1">
      <c r="A258" s="1410" t="s">
        <v>1003</v>
      </c>
      <c r="B258" s="1410"/>
      <c r="C258" s="1410"/>
      <c r="D258" s="1410"/>
      <c r="E258" s="1410"/>
      <c r="F258" s="1410"/>
      <c r="G258" s="1410"/>
      <c r="H258" s="1410"/>
      <c r="I258" s="1410"/>
      <c r="J258" s="1410"/>
      <c r="K258" s="1410"/>
      <c r="L258" s="1410"/>
      <c r="M258" s="1410"/>
      <c r="N258" s="1410"/>
      <c r="O258" s="1410"/>
      <c r="P258" s="1410"/>
      <c r="Q258" s="1410"/>
      <c r="R258" s="1410"/>
      <c r="S258" s="1410"/>
      <c r="T258" s="1410"/>
      <c r="U258" s="1410"/>
      <c r="V258" s="1410"/>
      <c r="W258" s="1410"/>
      <c r="X258" s="1410"/>
      <c r="Y258" s="1410"/>
      <c r="Z258" s="1410"/>
      <c r="AA258" s="1410"/>
      <c r="AB258" s="1410"/>
      <c r="AC258" s="1410"/>
      <c r="AD258" s="1410"/>
      <c r="AE258" s="1410"/>
      <c r="AF258" s="1410"/>
      <c r="AG258" s="1410"/>
      <c r="AH258" s="87"/>
      <c r="AI258" s="938"/>
      <c r="AJ258" s="87"/>
      <c r="AK258" s="87"/>
      <c r="AL258" s="87"/>
      <c r="AM258" s="87"/>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row>
    <row r="259" spans="1:68" s="74" customFormat="1" ht="15" hidden="1" customHeight="1" thickBot="1">
      <c r="A259" s="958"/>
      <c r="B259" s="958"/>
      <c r="C259" s="958"/>
      <c r="D259" s="958"/>
      <c r="E259" s="958"/>
      <c r="F259" s="958"/>
      <c r="G259" s="958"/>
      <c r="H259" s="958"/>
      <c r="I259" s="958"/>
      <c r="J259" s="958"/>
      <c r="K259" s="958"/>
      <c r="L259" s="958"/>
      <c r="M259" s="958"/>
      <c r="N259" s="958"/>
      <c r="O259" s="958"/>
      <c r="P259" s="958"/>
      <c r="Q259" s="958"/>
      <c r="R259" s="958"/>
      <c r="S259" s="958"/>
      <c r="T259" s="958"/>
      <c r="U259" s="958"/>
      <c r="V259" s="958"/>
      <c r="W259" s="958"/>
      <c r="X259" s="958"/>
      <c r="Y259" s="958"/>
      <c r="Z259" s="958"/>
      <c r="AA259" s="958"/>
      <c r="AB259" s="958"/>
      <c r="AC259" s="958"/>
      <c r="AD259" s="958"/>
      <c r="AE259" s="958"/>
      <c r="AF259" s="958"/>
      <c r="AG259" s="958"/>
      <c r="AH259" s="87"/>
      <c r="AI259" s="938"/>
      <c r="AJ259" s="87"/>
      <c r="AK259" s="87"/>
      <c r="AL259" s="87"/>
      <c r="AM259" s="87"/>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row>
    <row r="260" spans="1:68" s="74" customFormat="1" ht="15" customHeight="1" thickBot="1">
      <c r="A260" s="1301" t="s">
        <v>1131</v>
      </c>
      <c r="B260" s="1301"/>
      <c r="C260" s="1301"/>
      <c r="D260" s="1301"/>
      <c r="E260" s="1301"/>
      <c r="F260" s="1301"/>
      <c r="G260" s="1301"/>
      <c r="H260" s="1301"/>
      <c r="I260" s="1301"/>
      <c r="J260" s="1311" t="str">
        <f>IF(AND(AI261,AI263,AI264),"○","×")</f>
        <v>×</v>
      </c>
      <c r="K260" s="1312"/>
      <c r="L260" s="1312"/>
      <c r="M260" s="1312"/>
      <c r="N260" s="1313"/>
      <c r="O260" s="1427" t="s">
        <v>167</v>
      </c>
      <c r="P260" s="1277"/>
      <c r="Q260" s="1277"/>
      <c r="R260" s="958"/>
      <c r="S260" s="958"/>
      <c r="T260" s="958"/>
      <c r="U260" s="958"/>
      <c r="V260" s="715"/>
      <c r="W260" s="715"/>
      <c r="X260" s="715"/>
      <c r="Y260" s="715"/>
      <c r="Z260" s="715"/>
      <c r="AA260" s="715"/>
      <c r="AB260" s="715"/>
      <c r="AC260" s="715"/>
      <c r="AD260" s="715"/>
      <c r="AE260" s="958"/>
      <c r="AF260" s="707"/>
      <c r="AG260" s="707"/>
      <c r="AH260" s="87"/>
      <c r="AI260" s="938"/>
      <c r="AJ260" s="87"/>
      <c r="AK260" s="87"/>
      <c r="AL260" s="87"/>
      <c r="AM260" s="87"/>
      <c r="AP260" s="159"/>
      <c r="AQ260" s="159"/>
      <c r="AR260" s="159"/>
      <c r="AS260" s="159"/>
      <c r="AT260" s="159"/>
      <c r="AU260" s="159"/>
      <c r="AV260" s="15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row>
    <row r="261" spans="1:68" s="74" customFormat="1" ht="15" customHeight="1">
      <c r="A261" s="1310" t="s">
        <v>168</v>
      </c>
      <c r="B261" s="1310"/>
      <c r="C261" s="1310"/>
      <c r="D261" s="1310"/>
      <c r="E261" s="1310"/>
      <c r="F261" s="1338"/>
      <c r="G261" s="1338"/>
      <c r="H261" s="1338"/>
      <c r="I261" s="1338"/>
      <c r="J261" s="1339"/>
      <c r="K261" s="1339"/>
      <c r="L261" s="707"/>
      <c r="M261" s="707"/>
      <c r="N261" s="707"/>
      <c r="O261" s="707"/>
      <c r="P261" s="707"/>
      <c r="Q261" s="707"/>
      <c r="R261" s="707"/>
      <c r="S261" s="707"/>
      <c r="T261" s="707"/>
      <c r="U261" s="707"/>
      <c r="V261" s="707"/>
      <c r="W261" s="707"/>
      <c r="X261" s="707"/>
      <c r="Y261" s="707"/>
      <c r="Z261" s="707"/>
      <c r="AA261" s="707"/>
      <c r="AB261" s="707"/>
      <c r="AC261" s="707"/>
      <c r="AD261" s="707"/>
      <c r="AE261" s="707"/>
      <c r="AF261" s="707"/>
      <c r="AG261" s="707"/>
      <c r="AH261" s="87"/>
      <c r="AI261" s="312" t="b">
        <f>F261="申請する"</f>
        <v>0</v>
      </c>
      <c r="AJ261" s="87"/>
      <c r="AK261" s="87"/>
      <c r="AL261" s="87"/>
      <c r="AM261" s="87"/>
      <c r="AP261" s="159"/>
      <c r="AQ261" s="159"/>
      <c r="AR261" s="159"/>
      <c r="AS261" s="159"/>
      <c r="AT261" s="159"/>
      <c r="AU261" s="159"/>
      <c r="AV261" s="15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row>
    <row r="262" spans="1:68" s="74" customFormat="1" ht="15" customHeight="1">
      <c r="A262" s="1447" t="s">
        <v>320</v>
      </c>
      <c r="B262" s="1448"/>
      <c r="C262" s="1448"/>
      <c r="D262" s="1448"/>
      <c r="E262" s="1448"/>
      <c r="F262" s="1296" t="s">
        <v>169</v>
      </c>
      <c r="G262" s="1310"/>
      <c r="H262" s="1310"/>
      <c r="I262" s="1310"/>
      <c r="J262" s="1310"/>
      <c r="K262" s="1310"/>
      <c r="L262" s="1310"/>
      <c r="M262" s="1310"/>
      <c r="N262" s="1310"/>
      <c r="O262" s="1310"/>
      <c r="P262" s="1310"/>
      <c r="Q262" s="1310"/>
      <c r="R262" s="1310"/>
      <c r="S262" s="1310"/>
      <c r="T262" s="1310"/>
      <c r="U262" s="1310"/>
      <c r="V262" s="1310"/>
      <c r="W262" s="1310"/>
      <c r="X262" s="1310"/>
      <c r="Y262" s="1310"/>
      <c r="Z262" s="1310"/>
      <c r="AA262" s="1310" t="s">
        <v>170</v>
      </c>
      <c r="AB262" s="1310"/>
      <c r="AC262" s="1310"/>
      <c r="AD262" s="1310"/>
      <c r="AE262" s="958"/>
      <c r="AF262" s="707"/>
      <c r="AG262" s="707"/>
      <c r="AH262" s="87"/>
      <c r="AI262" s="938"/>
      <c r="AJ262" s="87"/>
      <c r="AK262" s="87"/>
      <c r="AL262" s="87"/>
      <c r="AM262" s="87"/>
    </row>
    <row r="263" spans="1:68" ht="15" customHeight="1">
      <c r="A263" s="1449"/>
      <c r="B263" s="1450"/>
      <c r="C263" s="1450"/>
      <c r="D263" s="1450"/>
      <c r="E263" s="1451"/>
      <c r="F263" s="943">
        <v>1</v>
      </c>
      <c r="G263" s="1432" t="s">
        <v>470</v>
      </c>
      <c r="H263" s="1432"/>
      <c r="I263" s="1432"/>
      <c r="J263" s="1432"/>
      <c r="K263" s="1432"/>
      <c r="L263" s="1432"/>
      <c r="M263" s="1432"/>
      <c r="N263" s="1432"/>
      <c r="O263" s="1432"/>
      <c r="P263" s="1432"/>
      <c r="Q263" s="1432"/>
      <c r="R263" s="1432"/>
      <c r="S263" s="1432"/>
      <c r="T263" s="1432"/>
      <c r="U263" s="1432"/>
      <c r="V263" s="1432"/>
      <c r="W263" s="1432"/>
      <c r="X263" s="1432"/>
      <c r="Y263" s="1432"/>
      <c r="Z263" s="1433"/>
      <c r="AA263" s="1354" t="str">
        <f>J212</f>
        <v>×</v>
      </c>
      <c r="AB263" s="1355"/>
      <c r="AC263" s="1355"/>
      <c r="AD263" s="1356"/>
      <c r="AE263" s="707"/>
      <c r="AF263" s="707"/>
      <c r="AG263" s="707"/>
      <c r="AI263" s="312" t="b">
        <f>AA263="○"</f>
        <v>0</v>
      </c>
    </row>
    <row r="264" spans="1:68" ht="15" customHeight="1">
      <c r="A264" s="1452"/>
      <c r="B264" s="1453"/>
      <c r="C264" s="1453"/>
      <c r="D264" s="1453"/>
      <c r="E264" s="1454"/>
      <c r="F264" s="943">
        <v>2</v>
      </c>
      <c r="G264" s="1432" t="s">
        <v>471</v>
      </c>
      <c r="H264" s="1432"/>
      <c r="I264" s="1432"/>
      <c r="J264" s="1432"/>
      <c r="K264" s="1432"/>
      <c r="L264" s="1432"/>
      <c r="M264" s="1432"/>
      <c r="N264" s="1432"/>
      <c r="O264" s="1432"/>
      <c r="P264" s="1432"/>
      <c r="Q264" s="1432"/>
      <c r="R264" s="1432"/>
      <c r="S264" s="1432"/>
      <c r="T264" s="1432"/>
      <c r="U264" s="1432"/>
      <c r="V264" s="1432"/>
      <c r="W264" s="1432"/>
      <c r="X264" s="1432"/>
      <c r="Y264" s="1432"/>
      <c r="Z264" s="1433"/>
      <c r="AA264" s="1351"/>
      <c r="AB264" s="1352"/>
      <c r="AC264" s="1352"/>
      <c r="AD264" s="1353"/>
      <c r="AE264" s="707"/>
      <c r="AF264" s="707"/>
      <c r="AG264" s="707"/>
      <c r="AI264" s="312" t="b">
        <f>AA264="○"</f>
        <v>0</v>
      </c>
    </row>
    <row r="265" spans="1:68" ht="189.95" customHeight="1">
      <c r="A265" s="1354" t="s">
        <v>67</v>
      </c>
      <c r="B265" s="1355"/>
      <c r="C265" s="1355"/>
      <c r="D265" s="1355"/>
      <c r="E265" s="1356"/>
      <c r="F265" s="1348" t="s">
        <v>909</v>
      </c>
      <c r="G265" s="1428"/>
      <c r="H265" s="1428"/>
      <c r="I265" s="1428"/>
      <c r="J265" s="1428"/>
      <c r="K265" s="1428"/>
      <c r="L265" s="1428"/>
      <c r="M265" s="1428"/>
      <c r="N265" s="1428"/>
      <c r="O265" s="1428"/>
      <c r="P265" s="1428"/>
      <c r="Q265" s="1428"/>
      <c r="R265" s="1428"/>
      <c r="S265" s="1428"/>
      <c r="T265" s="1428"/>
      <c r="U265" s="1428"/>
      <c r="V265" s="1428"/>
      <c r="W265" s="1428"/>
      <c r="X265" s="1428"/>
      <c r="Y265" s="1428"/>
      <c r="Z265" s="1428"/>
      <c r="AA265" s="1428"/>
      <c r="AB265" s="1428"/>
      <c r="AC265" s="1428"/>
      <c r="AD265" s="1429"/>
      <c r="AE265" s="958"/>
      <c r="AF265" s="707"/>
      <c r="AG265" s="707"/>
      <c r="AI265" s="938"/>
    </row>
    <row r="266" spans="1:68" ht="15" customHeight="1" thickBot="1">
      <c r="A266" s="958"/>
      <c r="B266" s="958"/>
      <c r="C266" s="958"/>
      <c r="D266" s="958"/>
      <c r="E266" s="958"/>
      <c r="F266" s="958"/>
      <c r="G266" s="958"/>
      <c r="H266" s="958"/>
      <c r="I266" s="958"/>
      <c r="J266" s="958"/>
      <c r="K266" s="958"/>
      <c r="L266" s="958"/>
      <c r="M266" s="958"/>
      <c r="N266" s="958"/>
      <c r="O266" s="958"/>
      <c r="P266" s="958"/>
      <c r="Q266" s="958"/>
      <c r="R266" s="958"/>
      <c r="S266" s="958"/>
      <c r="T266" s="958"/>
      <c r="U266" s="958"/>
      <c r="V266" s="958"/>
      <c r="W266" s="958"/>
      <c r="X266" s="958"/>
      <c r="Y266" s="958"/>
      <c r="Z266" s="958"/>
      <c r="AA266" s="958"/>
      <c r="AB266" s="958"/>
      <c r="AC266" s="958"/>
      <c r="AD266" s="958"/>
      <c r="AE266" s="958"/>
      <c r="AF266" s="707"/>
      <c r="AG266" s="707"/>
      <c r="AI266" s="938"/>
    </row>
    <row r="267" spans="1:68" ht="15" customHeight="1" thickBot="1">
      <c r="A267" s="1301" t="s">
        <v>1132</v>
      </c>
      <c r="B267" s="1301"/>
      <c r="C267" s="1301"/>
      <c r="D267" s="1301"/>
      <c r="E267" s="1301"/>
      <c r="F267" s="1301"/>
      <c r="G267" s="1301"/>
      <c r="H267" s="1301"/>
      <c r="I267" s="1301"/>
      <c r="J267" s="1311" t="str">
        <f>IF(AND(AI268,AI270,AI271,AI272,AI273),AI274,"×")</f>
        <v>×</v>
      </c>
      <c r="K267" s="1312"/>
      <c r="L267" s="1312"/>
      <c r="M267" s="1312"/>
      <c r="N267" s="1313"/>
      <c r="O267" s="1427" t="s">
        <v>167</v>
      </c>
      <c r="P267" s="1277"/>
      <c r="Q267" s="1277"/>
      <c r="R267" s="958"/>
      <c r="S267" s="958"/>
      <c r="T267" s="958"/>
      <c r="U267" s="958"/>
      <c r="V267" s="715"/>
      <c r="W267" s="715"/>
      <c r="X267" s="715"/>
      <c r="Y267" s="715"/>
      <c r="Z267" s="715"/>
      <c r="AA267" s="715"/>
      <c r="AB267" s="715"/>
      <c r="AC267" s="715"/>
      <c r="AD267" s="715"/>
      <c r="AE267" s="715"/>
      <c r="AF267" s="707"/>
      <c r="AG267" s="707"/>
      <c r="AI267" s="938"/>
    </row>
    <row r="268" spans="1:68" ht="15" customHeight="1">
      <c r="A268" s="1310" t="s">
        <v>168</v>
      </c>
      <c r="B268" s="1310"/>
      <c r="C268" s="1310"/>
      <c r="D268" s="1310"/>
      <c r="E268" s="1310"/>
      <c r="F268" s="1338"/>
      <c r="G268" s="1338"/>
      <c r="H268" s="1338"/>
      <c r="I268" s="1338"/>
      <c r="J268" s="1339"/>
      <c r="K268" s="1339"/>
      <c r="L268" s="707"/>
      <c r="M268" s="707"/>
      <c r="N268" s="707"/>
      <c r="O268" s="707"/>
      <c r="P268" s="707"/>
      <c r="Q268" s="707"/>
      <c r="R268" s="707"/>
      <c r="S268" s="707"/>
      <c r="T268" s="707"/>
      <c r="U268" s="707"/>
      <c r="V268" s="707"/>
      <c r="W268" s="707"/>
      <c r="X268" s="707"/>
      <c r="Y268" s="707"/>
      <c r="Z268" s="707"/>
      <c r="AA268" s="707"/>
      <c r="AB268" s="707"/>
      <c r="AC268" s="707"/>
      <c r="AD268" s="707"/>
      <c r="AE268" s="707"/>
      <c r="AF268" s="707"/>
      <c r="AG268" s="707"/>
      <c r="AI268" s="312" t="b">
        <f>F268="申請する"</f>
        <v>0</v>
      </c>
    </row>
    <row r="269" spans="1:68" ht="15" customHeight="1">
      <c r="A269" s="1416" t="s">
        <v>317</v>
      </c>
      <c r="B269" s="1417"/>
      <c r="C269" s="1417"/>
      <c r="D269" s="1417"/>
      <c r="E269" s="1417"/>
      <c r="F269" s="1296" t="s">
        <v>169</v>
      </c>
      <c r="G269" s="1310"/>
      <c r="H269" s="1310"/>
      <c r="I269" s="1310"/>
      <c r="J269" s="1310"/>
      <c r="K269" s="1310"/>
      <c r="L269" s="1310"/>
      <c r="M269" s="1310"/>
      <c r="N269" s="1310"/>
      <c r="O269" s="1310"/>
      <c r="P269" s="1310"/>
      <c r="Q269" s="1310"/>
      <c r="R269" s="1310"/>
      <c r="S269" s="1310"/>
      <c r="T269" s="1310"/>
      <c r="U269" s="1310"/>
      <c r="V269" s="1310"/>
      <c r="W269" s="1310"/>
      <c r="X269" s="1310"/>
      <c r="Y269" s="1310"/>
      <c r="Z269" s="1310"/>
      <c r="AA269" s="1310" t="s">
        <v>170</v>
      </c>
      <c r="AB269" s="1310"/>
      <c r="AC269" s="1310"/>
      <c r="AD269" s="1310"/>
      <c r="AE269" s="668"/>
      <c r="AF269" s="668"/>
      <c r="AG269" s="668"/>
      <c r="AH269" s="100"/>
      <c r="AI269" s="80"/>
    </row>
    <row r="270" spans="1:68" ht="15" customHeight="1">
      <c r="A270" s="1418"/>
      <c r="B270" s="1419"/>
      <c r="C270" s="1419"/>
      <c r="D270" s="1419"/>
      <c r="E270" s="1419"/>
      <c r="F270" s="736">
        <v>1</v>
      </c>
      <c r="G270" s="1346" t="s">
        <v>196</v>
      </c>
      <c r="H270" s="1346"/>
      <c r="I270" s="1346"/>
      <c r="J270" s="1346"/>
      <c r="K270" s="1346"/>
      <c r="L270" s="1346"/>
      <c r="M270" s="1346"/>
      <c r="N270" s="1346"/>
      <c r="O270" s="1346"/>
      <c r="P270" s="1346"/>
      <c r="Q270" s="1346"/>
      <c r="R270" s="1346"/>
      <c r="S270" s="1346"/>
      <c r="T270" s="1346"/>
      <c r="U270" s="1346"/>
      <c r="V270" s="1346"/>
      <c r="W270" s="1346"/>
      <c r="X270" s="1346"/>
      <c r="Y270" s="1346"/>
      <c r="Z270" s="1347"/>
      <c r="AA270" s="1354" t="str">
        <f>IF(J212="","×",J212)</f>
        <v>×</v>
      </c>
      <c r="AB270" s="1355"/>
      <c r="AC270" s="1355"/>
      <c r="AD270" s="1356"/>
      <c r="AE270" s="668"/>
      <c r="AF270" s="668"/>
      <c r="AG270" s="668"/>
      <c r="AH270" s="100"/>
      <c r="AI270" s="962" t="b">
        <f>AA270="○"</f>
        <v>0</v>
      </c>
      <c r="AN270" s="84"/>
      <c r="AO270" s="84"/>
      <c r="AP270" s="84"/>
      <c r="AQ270" s="84"/>
      <c r="AR270" s="84"/>
      <c r="AS270" s="84"/>
      <c r="AT270" s="84"/>
      <c r="AU270" s="77"/>
      <c r="AV270" s="77"/>
      <c r="AW270" s="77"/>
      <c r="AX270" s="77"/>
      <c r="AY270" s="77"/>
      <c r="AZ270" s="77"/>
      <c r="BA270" s="77"/>
      <c r="BB270" s="77"/>
      <c r="BC270" s="77"/>
      <c r="BD270" s="77"/>
      <c r="BE270" s="77"/>
      <c r="BF270" s="77"/>
      <c r="BG270" s="77"/>
      <c r="BH270" s="77"/>
      <c r="BI270" s="77"/>
      <c r="BJ270" s="77"/>
    </row>
    <row r="271" spans="1:68" ht="15" customHeight="1">
      <c r="A271" s="1418"/>
      <c r="B271" s="1419"/>
      <c r="C271" s="1419"/>
      <c r="D271" s="1419"/>
      <c r="E271" s="1419"/>
      <c r="F271" s="954">
        <v>2</v>
      </c>
      <c r="G271" s="1411" t="s">
        <v>449</v>
      </c>
      <c r="H271" s="1411"/>
      <c r="I271" s="1411"/>
      <c r="J271" s="1411"/>
      <c r="K271" s="1411"/>
      <c r="L271" s="1411"/>
      <c r="M271" s="1411"/>
      <c r="N271" s="1411"/>
      <c r="O271" s="1411"/>
      <c r="P271" s="1411"/>
      <c r="Q271" s="1411"/>
      <c r="R271" s="1411"/>
      <c r="S271" s="1411"/>
      <c r="T271" s="1411"/>
      <c r="U271" s="1411"/>
      <c r="V271" s="1411"/>
      <c r="W271" s="1411"/>
      <c r="X271" s="1411"/>
      <c r="Y271" s="1411"/>
      <c r="Z271" s="1412"/>
      <c r="AA271" s="1422" t="str">
        <f>【様式５】職員数算出表!O42</f>
        <v>-</v>
      </c>
      <c r="AB271" s="1422"/>
      <c r="AC271" s="1422"/>
      <c r="AD271" s="1422"/>
      <c r="AE271" s="668"/>
      <c r="AF271" s="668"/>
      <c r="AG271" s="668"/>
      <c r="AH271" s="100"/>
      <c r="AI271" s="962" t="b">
        <f>AA271="○"</f>
        <v>0</v>
      </c>
      <c r="AM271" s="84"/>
    </row>
    <row r="272" spans="1:68" ht="24.95" customHeight="1">
      <c r="A272" s="1418"/>
      <c r="B272" s="1419"/>
      <c r="C272" s="1419"/>
      <c r="D272" s="1419"/>
      <c r="E272" s="1419"/>
      <c r="F272" s="954">
        <v>3</v>
      </c>
      <c r="G272" s="1346" t="s">
        <v>472</v>
      </c>
      <c r="H272" s="1346"/>
      <c r="I272" s="1346"/>
      <c r="J272" s="1346"/>
      <c r="K272" s="1346"/>
      <c r="L272" s="1346"/>
      <c r="M272" s="1346"/>
      <c r="N272" s="1346"/>
      <c r="O272" s="1346"/>
      <c r="P272" s="1346"/>
      <c r="Q272" s="1346"/>
      <c r="R272" s="1346"/>
      <c r="S272" s="1346"/>
      <c r="T272" s="1346"/>
      <c r="U272" s="1346"/>
      <c r="V272" s="1346"/>
      <c r="W272" s="1346"/>
      <c r="X272" s="1346"/>
      <c r="Y272" s="1346"/>
      <c r="Z272" s="1346"/>
      <c r="AA272" s="1351"/>
      <c r="AB272" s="1352"/>
      <c r="AC272" s="1352"/>
      <c r="AD272" s="1353"/>
      <c r="AE272" s="668"/>
      <c r="AF272" s="668"/>
      <c r="AG272" s="668"/>
      <c r="AH272" s="100"/>
      <c r="AI272" s="962" t="b">
        <f>AA272="○"</f>
        <v>0</v>
      </c>
      <c r="AM272" s="84"/>
    </row>
    <row r="273" spans="1:39" ht="15" customHeight="1">
      <c r="A273" s="1418"/>
      <c r="B273" s="1419"/>
      <c r="C273" s="1419"/>
      <c r="D273" s="1419"/>
      <c r="E273" s="1419"/>
      <c r="F273" s="941">
        <v>4</v>
      </c>
      <c r="G273" s="1382" t="s">
        <v>314</v>
      </c>
      <c r="H273" s="1382"/>
      <c r="I273" s="1382"/>
      <c r="J273" s="1382"/>
      <c r="K273" s="1382"/>
      <c r="L273" s="1382"/>
      <c r="M273" s="1382"/>
      <c r="N273" s="1382"/>
      <c r="O273" s="1382"/>
      <c r="P273" s="1382"/>
      <c r="Q273" s="1382"/>
      <c r="R273" s="1382"/>
      <c r="S273" s="1382"/>
      <c r="T273" s="1382"/>
      <c r="U273" s="1382"/>
      <c r="V273" s="1382"/>
      <c r="W273" s="1382"/>
      <c r="X273" s="1382"/>
      <c r="Y273" s="1382"/>
      <c r="Z273" s="1382"/>
      <c r="AA273" s="1273" t="str">
        <f>IF(SUM(U274:X275)&gt;0,"○","×")</f>
        <v>×</v>
      </c>
      <c r="AB273" s="1274"/>
      <c r="AC273" s="1274"/>
      <c r="AD273" s="1275"/>
      <c r="AE273" s="958"/>
      <c r="AF273" s="707"/>
      <c r="AG273" s="707"/>
      <c r="AH273" s="100"/>
      <c r="AI273" s="962" t="b">
        <f>AA273="○"</f>
        <v>0</v>
      </c>
      <c r="AM273" s="84"/>
    </row>
    <row r="274" spans="1:39" ht="15" customHeight="1">
      <c r="A274" s="1418"/>
      <c r="B274" s="1419"/>
      <c r="C274" s="1419"/>
      <c r="D274" s="1419"/>
      <c r="E274" s="1419"/>
      <c r="F274" s="1437" t="s">
        <v>315</v>
      </c>
      <c r="G274" s="1438"/>
      <c r="H274" s="1439" t="s">
        <v>85</v>
      </c>
      <c r="I274" s="1439"/>
      <c r="J274" s="1439"/>
      <c r="K274" s="1439"/>
      <c r="L274" s="1439"/>
      <c r="M274" s="1439"/>
      <c r="N274" s="1439"/>
      <c r="O274" s="1439"/>
      <c r="P274" s="1439"/>
      <c r="Q274" s="1439"/>
      <c r="R274" s="1439"/>
      <c r="S274" s="1439"/>
      <c r="T274" s="1439"/>
      <c r="U274" s="1704"/>
      <c r="V274" s="1704"/>
      <c r="W274" s="1704"/>
      <c r="X274" s="1704"/>
      <c r="Y274" s="1486" t="s">
        <v>39</v>
      </c>
      <c r="Z274" s="1703"/>
      <c r="AA274" s="1276"/>
      <c r="AB274" s="1277"/>
      <c r="AC274" s="1277"/>
      <c r="AD274" s="1278"/>
      <c r="AE274" s="958"/>
      <c r="AF274" s="707"/>
      <c r="AG274" s="707"/>
      <c r="AH274" s="100"/>
      <c r="AI274" s="1392" t="str">
        <f>IF(U274&gt;0,"特児",IF(U275&gt;0,"その他",""))</f>
        <v/>
      </c>
      <c r="AJ274" s="73"/>
      <c r="AK274" s="73"/>
      <c r="AL274" s="73"/>
      <c r="AM274" s="73"/>
    </row>
    <row r="275" spans="1:39" ht="15" customHeight="1">
      <c r="A275" s="1420"/>
      <c r="B275" s="1421"/>
      <c r="C275" s="1421"/>
      <c r="D275" s="1421"/>
      <c r="E275" s="1421"/>
      <c r="F275" s="1434" t="s">
        <v>111</v>
      </c>
      <c r="G275" s="1435"/>
      <c r="H275" s="1436" t="s">
        <v>316</v>
      </c>
      <c r="I275" s="1436"/>
      <c r="J275" s="1436"/>
      <c r="K275" s="1436"/>
      <c r="L275" s="1436"/>
      <c r="M275" s="1436"/>
      <c r="N275" s="1436"/>
      <c r="O275" s="1436"/>
      <c r="P275" s="1436"/>
      <c r="Q275" s="1436"/>
      <c r="R275" s="1436"/>
      <c r="S275" s="1436"/>
      <c r="T275" s="1436"/>
      <c r="U275" s="1413"/>
      <c r="V275" s="1413"/>
      <c r="W275" s="1413"/>
      <c r="X275" s="1413"/>
      <c r="Y275" s="1414" t="s">
        <v>39</v>
      </c>
      <c r="Z275" s="1415"/>
      <c r="AA275" s="1340"/>
      <c r="AB275" s="1341"/>
      <c r="AC275" s="1341"/>
      <c r="AD275" s="1342"/>
      <c r="AE275" s="958"/>
      <c r="AF275" s="707"/>
      <c r="AG275" s="707"/>
      <c r="AH275" s="100"/>
      <c r="AI275" s="1393"/>
      <c r="AJ275" s="73"/>
      <c r="AK275" s="73"/>
      <c r="AL275" s="73"/>
      <c r="AM275" s="73"/>
    </row>
    <row r="276" spans="1:39" ht="45" customHeight="1">
      <c r="A276" s="1385" t="s">
        <v>67</v>
      </c>
      <c r="B276" s="1385"/>
      <c r="C276" s="1385"/>
      <c r="D276" s="1385"/>
      <c r="E276" s="1385"/>
      <c r="F276" s="1455" t="s">
        <v>1019</v>
      </c>
      <c r="G276" s="1432"/>
      <c r="H276" s="1432"/>
      <c r="I276" s="1432"/>
      <c r="J276" s="1432"/>
      <c r="K276" s="1432"/>
      <c r="L276" s="1432"/>
      <c r="M276" s="1432"/>
      <c r="N276" s="1432"/>
      <c r="O276" s="1432"/>
      <c r="P276" s="1432"/>
      <c r="Q276" s="1432"/>
      <c r="R276" s="1432"/>
      <c r="S276" s="1432"/>
      <c r="T276" s="1432"/>
      <c r="U276" s="1432"/>
      <c r="V276" s="1432"/>
      <c r="W276" s="1432"/>
      <c r="X276" s="1432"/>
      <c r="Y276" s="1432"/>
      <c r="Z276" s="1432"/>
      <c r="AA276" s="1432"/>
      <c r="AB276" s="1432"/>
      <c r="AC276" s="1432"/>
      <c r="AD276" s="1432"/>
      <c r="AE276" s="742"/>
      <c r="AF276" s="743"/>
      <c r="AG276" s="715"/>
      <c r="AH276" s="73"/>
      <c r="AI276" s="185"/>
      <c r="AJ276" s="73"/>
      <c r="AK276" s="73"/>
      <c r="AL276" s="73"/>
      <c r="AM276" s="73"/>
    </row>
    <row r="277" spans="1:39" ht="24.95" customHeight="1">
      <c r="A277" s="1385"/>
      <c r="B277" s="1385"/>
      <c r="C277" s="1385"/>
      <c r="D277" s="1385"/>
      <c r="E277" s="1385"/>
      <c r="F277" s="1638" t="s">
        <v>91</v>
      </c>
      <c r="G277" s="1389"/>
      <c r="H277" s="1389"/>
      <c r="I277" s="1389"/>
      <c r="J277" s="1389"/>
      <c r="K277" s="1389"/>
      <c r="L277" s="1389"/>
      <c r="M277" s="1389"/>
      <c r="N277" s="1389"/>
      <c r="O277" s="1389"/>
      <c r="P277" s="1389"/>
      <c r="Q277" s="1389"/>
      <c r="R277" s="1389"/>
      <c r="S277" s="1389"/>
      <c r="T277" s="1389"/>
      <c r="U277" s="1389"/>
      <c r="V277" s="1389"/>
      <c r="W277" s="1389"/>
      <c r="X277" s="1389"/>
      <c r="Y277" s="1389"/>
      <c r="Z277" s="1389"/>
      <c r="AA277" s="1389"/>
      <c r="AB277" s="1389"/>
      <c r="AC277" s="1389"/>
      <c r="AD277" s="1389"/>
      <c r="AE277" s="742"/>
      <c r="AF277" s="743"/>
      <c r="AG277" s="715"/>
      <c r="AH277" s="73"/>
      <c r="AI277" s="185"/>
    </row>
    <row r="278" spans="1:39" ht="174.95" customHeight="1">
      <c r="A278" s="1385"/>
      <c r="B278" s="1385"/>
      <c r="C278" s="1385"/>
      <c r="D278" s="1385"/>
      <c r="E278" s="1385"/>
      <c r="F278" s="1640" t="s">
        <v>1118</v>
      </c>
      <c r="G278" s="1541"/>
      <c r="H278" s="1541"/>
      <c r="I278" s="1541"/>
      <c r="J278" s="1541"/>
      <c r="K278" s="1541"/>
      <c r="L278" s="1541"/>
      <c r="M278" s="1541"/>
      <c r="N278" s="1541"/>
      <c r="O278" s="1541"/>
      <c r="P278" s="1541"/>
      <c r="Q278" s="1541"/>
      <c r="R278" s="1541"/>
      <c r="S278" s="1541"/>
      <c r="T278" s="1541"/>
      <c r="U278" s="1541"/>
      <c r="V278" s="1541"/>
      <c r="W278" s="1541"/>
      <c r="X278" s="1541"/>
      <c r="Y278" s="1541"/>
      <c r="Z278" s="1541"/>
      <c r="AA278" s="1541"/>
      <c r="AB278" s="1541"/>
      <c r="AC278" s="1541"/>
      <c r="AD278" s="1541"/>
      <c r="AE278" s="742"/>
      <c r="AF278" s="743"/>
      <c r="AG278" s="715"/>
      <c r="AH278" s="73"/>
      <c r="AI278" s="185"/>
    </row>
    <row r="279" spans="1:39" s="73" customFormat="1" ht="15" customHeight="1" thickBot="1">
      <c r="A279" s="935"/>
      <c r="B279" s="935"/>
      <c r="C279" s="935"/>
      <c r="D279" s="935"/>
      <c r="E279" s="935"/>
      <c r="F279" s="945"/>
      <c r="G279" s="945"/>
      <c r="H279" s="945"/>
      <c r="I279" s="945"/>
      <c r="J279" s="945"/>
      <c r="K279" s="945"/>
      <c r="L279" s="945"/>
      <c r="M279" s="945"/>
      <c r="N279" s="945"/>
      <c r="O279" s="945"/>
      <c r="P279" s="945"/>
      <c r="Q279" s="945"/>
      <c r="R279" s="945"/>
      <c r="S279" s="945"/>
      <c r="T279" s="945"/>
      <c r="U279" s="945"/>
      <c r="V279" s="945"/>
      <c r="W279" s="945"/>
      <c r="X279" s="945"/>
      <c r="Y279" s="945"/>
      <c r="Z279" s="945"/>
      <c r="AA279" s="945"/>
      <c r="AB279" s="945"/>
      <c r="AC279" s="945"/>
      <c r="AD279" s="945"/>
      <c r="AE279" s="707"/>
      <c r="AF279" s="707"/>
      <c r="AG279" s="707"/>
      <c r="AH279" s="87"/>
      <c r="AI279" s="938"/>
      <c r="AJ279" s="87"/>
      <c r="AK279" s="87"/>
      <c r="AL279" s="87"/>
      <c r="AM279" s="87"/>
    </row>
    <row r="280" spans="1:39" s="73" customFormat="1" ht="15" customHeight="1" thickBot="1">
      <c r="A280" s="1487" t="s">
        <v>1133</v>
      </c>
      <c r="B280" s="1487"/>
      <c r="C280" s="1487"/>
      <c r="D280" s="1487"/>
      <c r="E280" s="1487"/>
      <c r="F280" s="1487"/>
      <c r="G280" s="1487"/>
      <c r="H280" s="1487"/>
      <c r="I280" s="1487"/>
      <c r="J280" s="1311" t="str">
        <f>IF(AND(AI281,AI283,AI285),"○","×")</f>
        <v>×</v>
      </c>
      <c r="K280" s="1312"/>
      <c r="L280" s="1312"/>
      <c r="M280" s="1312"/>
      <c r="N280" s="1313"/>
      <c r="O280" s="1427" t="s">
        <v>167</v>
      </c>
      <c r="P280" s="1277"/>
      <c r="Q280" s="1277"/>
      <c r="R280" s="958"/>
      <c r="S280" s="958"/>
      <c r="T280" s="958"/>
      <c r="U280" s="958"/>
      <c r="V280" s="715"/>
      <c r="W280" s="715"/>
      <c r="X280" s="715"/>
      <c r="Y280" s="715"/>
      <c r="Z280" s="715"/>
      <c r="AA280" s="715"/>
      <c r="AB280" s="715"/>
      <c r="AC280" s="715"/>
      <c r="AD280" s="715"/>
      <c r="AE280" s="958"/>
      <c r="AF280" s="707"/>
      <c r="AG280" s="707"/>
      <c r="AH280" s="87"/>
      <c r="AI280" s="938"/>
      <c r="AJ280" s="87"/>
      <c r="AK280" s="87"/>
      <c r="AL280" s="87"/>
      <c r="AM280" s="87"/>
    </row>
    <row r="281" spans="1:39" s="73" customFormat="1" ht="15" customHeight="1">
      <c r="A281" s="1310" t="s">
        <v>168</v>
      </c>
      <c r="B281" s="1310"/>
      <c r="C281" s="1310"/>
      <c r="D281" s="1310"/>
      <c r="E281" s="1310"/>
      <c r="F281" s="1338"/>
      <c r="G281" s="1338"/>
      <c r="H281" s="1338"/>
      <c r="I281" s="1338"/>
      <c r="J281" s="1339"/>
      <c r="K281" s="1339"/>
      <c r="L281" s="707"/>
      <c r="M281" s="707"/>
      <c r="N281" s="707"/>
      <c r="O281" s="707"/>
      <c r="P281" s="707"/>
      <c r="Q281" s="707"/>
      <c r="R281" s="707"/>
      <c r="S281" s="707"/>
      <c r="T281" s="707"/>
      <c r="U281" s="707"/>
      <c r="V281" s="707"/>
      <c r="W281" s="707"/>
      <c r="X281" s="707"/>
      <c r="Y281" s="707"/>
      <c r="Z281" s="707"/>
      <c r="AA281" s="707"/>
      <c r="AB281" s="707"/>
      <c r="AC281" s="707"/>
      <c r="AD281" s="707"/>
      <c r="AE281" s="707"/>
      <c r="AF281" s="707"/>
      <c r="AG281" s="707"/>
      <c r="AH281" s="87"/>
      <c r="AI281" s="312" t="b">
        <f>F281="申請する"</f>
        <v>0</v>
      </c>
      <c r="AJ281" s="87"/>
      <c r="AK281" s="87"/>
      <c r="AL281" s="87"/>
      <c r="AM281" s="87"/>
    </row>
    <row r="282" spans="1:39" s="73" customFormat="1" ht="15" customHeight="1">
      <c r="A282" s="1416" t="s">
        <v>318</v>
      </c>
      <c r="B282" s="1362"/>
      <c r="C282" s="1362"/>
      <c r="D282" s="1362"/>
      <c r="E282" s="1362"/>
      <c r="F282" s="1296" t="s">
        <v>169</v>
      </c>
      <c r="G282" s="1310"/>
      <c r="H282" s="1310"/>
      <c r="I282" s="1310"/>
      <c r="J282" s="1310"/>
      <c r="K282" s="1310"/>
      <c r="L282" s="1310"/>
      <c r="M282" s="1310"/>
      <c r="N282" s="1310"/>
      <c r="O282" s="1310"/>
      <c r="P282" s="1310"/>
      <c r="Q282" s="1310"/>
      <c r="R282" s="1310"/>
      <c r="S282" s="1310"/>
      <c r="T282" s="1310"/>
      <c r="U282" s="1310"/>
      <c r="V282" s="1310"/>
      <c r="W282" s="1310"/>
      <c r="X282" s="1310"/>
      <c r="Y282" s="1310"/>
      <c r="Z282" s="1310"/>
      <c r="AA282" s="1310" t="s">
        <v>170</v>
      </c>
      <c r="AB282" s="1310"/>
      <c r="AC282" s="1310"/>
      <c r="AD282" s="1310"/>
      <c r="AE282" s="668"/>
      <c r="AF282" s="668"/>
      <c r="AG282" s="668"/>
      <c r="AH282" s="100"/>
      <c r="AI282" s="80"/>
      <c r="AJ282" s="87"/>
      <c r="AK282" s="87"/>
      <c r="AL282" s="87"/>
      <c r="AM282" s="87"/>
    </row>
    <row r="283" spans="1:39" s="73" customFormat="1" ht="15" customHeight="1">
      <c r="A283" s="1497"/>
      <c r="B283" s="1498"/>
      <c r="C283" s="1498"/>
      <c r="D283" s="1498"/>
      <c r="E283" s="1498"/>
      <c r="F283" s="941">
        <v>1</v>
      </c>
      <c r="G283" s="1394" t="s">
        <v>197</v>
      </c>
      <c r="H283" s="1394"/>
      <c r="I283" s="1394"/>
      <c r="J283" s="1394"/>
      <c r="K283" s="1394"/>
      <c r="L283" s="1394"/>
      <c r="M283" s="1394"/>
      <c r="N283" s="1394"/>
      <c r="O283" s="1394"/>
      <c r="P283" s="1394"/>
      <c r="Q283" s="1394"/>
      <c r="R283" s="1394"/>
      <c r="S283" s="1394"/>
      <c r="T283" s="1394"/>
      <c r="U283" s="1394"/>
      <c r="V283" s="1394"/>
      <c r="W283" s="1394"/>
      <c r="X283" s="1394"/>
      <c r="Y283" s="1394"/>
      <c r="Z283" s="1395"/>
      <c r="AA283" s="1273" t="str">
        <f>IF(M284&gt;=91,"○","×")</f>
        <v>×</v>
      </c>
      <c r="AB283" s="1274"/>
      <c r="AC283" s="1274"/>
      <c r="AD283" s="1275"/>
      <c r="AE283" s="668"/>
      <c r="AF283" s="668"/>
      <c r="AG283" s="668"/>
      <c r="AH283" s="100"/>
      <c r="AI283" s="1423" t="b">
        <f>AA283="○"</f>
        <v>0</v>
      </c>
      <c r="AJ283" s="87"/>
      <c r="AK283" s="87"/>
      <c r="AL283" s="87"/>
      <c r="AM283" s="87"/>
    </row>
    <row r="284" spans="1:39" s="73" customFormat="1" ht="15" customHeight="1">
      <c r="A284" s="1497"/>
      <c r="B284" s="1498"/>
      <c r="C284" s="1498"/>
      <c r="D284" s="1498"/>
      <c r="E284" s="1498"/>
      <c r="F284" s="1364" t="s">
        <v>178</v>
      </c>
      <c r="G284" s="1365"/>
      <c r="H284" s="1365"/>
      <c r="I284" s="1365"/>
      <c r="J284" s="1365"/>
      <c r="K284" s="1365"/>
      <c r="L284" s="1366"/>
      <c r="M284" s="1424">
        <f>$D$14</f>
        <v>0</v>
      </c>
      <c r="N284" s="1425"/>
      <c r="O284" s="1425"/>
      <c r="P284" s="1425"/>
      <c r="Q284" s="1425"/>
      <c r="R284" s="1425"/>
      <c r="S284" s="1425"/>
      <c r="T284" s="1425"/>
      <c r="U284" s="1425"/>
      <c r="V284" s="1425"/>
      <c r="W284" s="1425"/>
      <c r="X284" s="1425"/>
      <c r="Y284" s="1425"/>
      <c r="Z284" s="1426"/>
      <c r="AA284" s="1340"/>
      <c r="AB284" s="1341"/>
      <c r="AC284" s="1341"/>
      <c r="AD284" s="1342"/>
      <c r="AE284" s="668"/>
      <c r="AF284" s="668"/>
      <c r="AG284" s="668"/>
      <c r="AH284" s="100"/>
      <c r="AI284" s="1423"/>
      <c r="AJ284" s="87"/>
      <c r="AK284" s="87"/>
      <c r="AL284" s="87"/>
      <c r="AM284" s="87"/>
    </row>
    <row r="285" spans="1:39" ht="15" customHeight="1">
      <c r="A285" s="1497"/>
      <c r="B285" s="1498"/>
      <c r="C285" s="1498"/>
      <c r="D285" s="1498"/>
      <c r="E285" s="1498"/>
      <c r="F285" s="942">
        <v>2</v>
      </c>
      <c r="G285" s="1432" t="s">
        <v>574</v>
      </c>
      <c r="H285" s="1432"/>
      <c r="I285" s="1432"/>
      <c r="J285" s="1432"/>
      <c r="K285" s="1432"/>
      <c r="L285" s="1432"/>
      <c r="M285" s="1432"/>
      <c r="N285" s="1432"/>
      <c r="O285" s="1432"/>
      <c r="P285" s="1432"/>
      <c r="Q285" s="1432"/>
      <c r="R285" s="1432"/>
      <c r="S285" s="1432"/>
      <c r="T285" s="1432"/>
      <c r="U285" s="1432"/>
      <c r="V285" s="1432"/>
      <c r="W285" s="1432"/>
      <c r="X285" s="1432"/>
      <c r="Y285" s="1432"/>
      <c r="Z285" s="1433"/>
      <c r="AA285" s="1290" t="str">
        <f>IF(OR(AA286="○",AA288="○"),"○","×")</f>
        <v>×</v>
      </c>
      <c r="AB285" s="1291"/>
      <c r="AC285" s="1291"/>
      <c r="AD285" s="1292"/>
      <c r="AE285" s="958"/>
      <c r="AF285" s="707"/>
      <c r="AG285" s="707"/>
      <c r="AI285" s="962" t="b">
        <f>AA285="○"</f>
        <v>0</v>
      </c>
    </row>
    <row r="286" spans="1:39" ht="15" customHeight="1">
      <c r="A286" s="1497"/>
      <c r="B286" s="1498"/>
      <c r="C286" s="1498"/>
      <c r="D286" s="1498"/>
      <c r="E286" s="1498"/>
      <c r="F286" s="1679" t="s">
        <v>198</v>
      </c>
      <c r="G286" s="1680"/>
      <c r="H286" s="1495" t="s">
        <v>199</v>
      </c>
      <c r="I286" s="1495"/>
      <c r="J286" s="1495"/>
      <c r="K286" s="1495"/>
      <c r="L286" s="1495"/>
      <c r="M286" s="1495"/>
      <c r="N286" s="1495"/>
      <c r="O286" s="1495"/>
      <c r="P286" s="1495"/>
      <c r="Q286" s="1495"/>
      <c r="R286" s="1495"/>
      <c r="S286" s="1495"/>
      <c r="T286" s="1495"/>
      <c r="U286" s="1495"/>
      <c r="V286" s="1495"/>
      <c r="W286" s="1495"/>
      <c r="X286" s="1495"/>
      <c r="Y286" s="1495"/>
      <c r="Z286" s="1496"/>
      <c r="AA286" s="1679" t="str">
        <f>IF(OR(AI60,AI61),【様式５】職員数算出表!O40,"")</f>
        <v/>
      </c>
      <c r="AB286" s="1680"/>
      <c r="AC286" s="1680"/>
      <c r="AD286" s="1710"/>
      <c r="AE286" s="958"/>
      <c r="AF286" s="707"/>
      <c r="AG286" s="707"/>
      <c r="AI286" s="938"/>
    </row>
    <row r="287" spans="1:39" ht="24.95" customHeight="1">
      <c r="A287" s="1497"/>
      <c r="B287" s="1498"/>
      <c r="C287" s="1498"/>
      <c r="D287" s="1498"/>
      <c r="E287" s="1498"/>
      <c r="F287" s="742"/>
      <c r="G287" s="743"/>
      <c r="H287" s="1389" t="s">
        <v>448</v>
      </c>
      <c r="I287" s="1389"/>
      <c r="J287" s="1389"/>
      <c r="K287" s="1389"/>
      <c r="L287" s="1389"/>
      <c r="M287" s="1389"/>
      <c r="N287" s="1389"/>
      <c r="O287" s="1389"/>
      <c r="P287" s="1389"/>
      <c r="Q287" s="1389"/>
      <c r="R287" s="1389"/>
      <c r="S287" s="1389"/>
      <c r="T287" s="1389"/>
      <c r="U287" s="1389"/>
      <c r="V287" s="1389"/>
      <c r="W287" s="1389"/>
      <c r="X287" s="1389"/>
      <c r="Y287" s="1389"/>
      <c r="Z287" s="1639"/>
      <c r="AA287" s="1723"/>
      <c r="AB287" s="1724"/>
      <c r="AC287" s="1724"/>
      <c r="AD287" s="1725"/>
      <c r="AE287" s="958"/>
      <c r="AF287" s="707"/>
      <c r="AG287" s="707"/>
      <c r="AI287" s="938"/>
    </row>
    <row r="288" spans="1:39" ht="15" customHeight="1">
      <c r="A288" s="1497"/>
      <c r="B288" s="1498"/>
      <c r="C288" s="1498"/>
      <c r="D288" s="1498"/>
      <c r="E288" s="1498"/>
      <c r="F288" s="1679" t="s">
        <v>179</v>
      </c>
      <c r="G288" s="1680"/>
      <c r="H288" s="1680" t="s">
        <v>200</v>
      </c>
      <c r="I288" s="1680"/>
      <c r="J288" s="1680"/>
      <c r="K288" s="1680"/>
      <c r="L288" s="1680"/>
      <c r="M288" s="1680"/>
      <c r="N288" s="1680"/>
      <c r="O288" s="1680"/>
      <c r="P288" s="1680"/>
      <c r="Q288" s="1680"/>
      <c r="R288" s="1680"/>
      <c r="S288" s="1680"/>
      <c r="T288" s="1680"/>
      <c r="U288" s="1680"/>
      <c r="V288" s="1680"/>
      <c r="W288" s="1680"/>
      <c r="X288" s="1680"/>
      <c r="Y288" s="1680"/>
      <c r="Z288" s="1710"/>
      <c r="AA288" s="1679" t="str">
        <f>IF(AI59,【様式５】職員数算出表!O40,"")</f>
        <v/>
      </c>
      <c r="AB288" s="1680"/>
      <c r="AC288" s="1680"/>
      <c r="AD288" s="1710"/>
      <c r="AE288" s="958"/>
      <c r="AF288" s="707"/>
      <c r="AG288" s="707"/>
      <c r="AI288" s="938"/>
    </row>
    <row r="289" spans="1:39" ht="24.95" customHeight="1">
      <c r="A289" s="1500"/>
      <c r="B289" s="1501"/>
      <c r="C289" s="1501"/>
      <c r="D289" s="1501"/>
      <c r="E289" s="1501"/>
      <c r="F289" s="742"/>
      <c r="G289" s="743"/>
      <c r="H289" s="1389" t="s">
        <v>473</v>
      </c>
      <c r="I289" s="1389"/>
      <c r="J289" s="1389"/>
      <c r="K289" s="1389"/>
      <c r="L289" s="1389"/>
      <c r="M289" s="1389"/>
      <c r="N289" s="1389"/>
      <c r="O289" s="1389"/>
      <c r="P289" s="1389"/>
      <c r="Q289" s="1389"/>
      <c r="R289" s="1389"/>
      <c r="S289" s="1389"/>
      <c r="T289" s="1389"/>
      <c r="U289" s="1389"/>
      <c r="V289" s="1389"/>
      <c r="W289" s="1389"/>
      <c r="X289" s="1389"/>
      <c r="Y289" s="1389"/>
      <c r="Z289" s="1639"/>
      <c r="AA289" s="1299"/>
      <c r="AB289" s="1300"/>
      <c r="AC289" s="1300"/>
      <c r="AD289" s="1660"/>
      <c r="AE289" s="958"/>
      <c r="AF289" s="707"/>
      <c r="AG289" s="707"/>
      <c r="AI289" s="938"/>
    </row>
    <row r="290" spans="1:39" ht="15" customHeight="1">
      <c r="A290" s="1273" t="s">
        <v>67</v>
      </c>
      <c r="B290" s="1274"/>
      <c r="C290" s="1274"/>
      <c r="D290" s="1274"/>
      <c r="E290" s="1275"/>
      <c r="F290" s="1455" t="s">
        <v>447</v>
      </c>
      <c r="G290" s="1432"/>
      <c r="H290" s="1432"/>
      <c r="I290" s="1432"/>
      <c r="J290" s="1432"/>
      <c r="K290" s="1432"/>
      <c r="L290" s="1432"/>
      <c r="M290" s="1432"/>
      <c r="N290" s="1432"/>
      <c r="O290" s="1432"/>
      <c r="P290" s="1432"/>
      <c r="Q290" s="1432"/>
      <c r="R290" s="1432"/>
      <c r="S290" s="1432"/>
      <c r="T290" s="1432"/>
      <c r="U290" s="1432"/>
      <c r="V290" s="1432"/>
      <c r="W290" s="1432"/>
      <c r="X290" s="1432"/>
      <c r="Y290" s="1432"/>
      <c r="Z290" s="1432"/>
      <c r="AA290" s="1432"/>
      <c r="AB290" s="1432"/>
      <c r="AC290" s="1432"/>
      <c r="AD290" s="1433"/>
      <c r="AE290" s="958"/>
      <c r="AF290" s="707"/>
      <c r="AG290" s="707"/>
      <c r="AI290" s="938"/>
    </row>
    <row r="291" spans="1:39" ht="15" customHeight="1">
      <c r="A291" s="1340"/>
      <c r="B291" s="1341"/>
      <c r="C291" s="1341"/>
      <c r="D291" s="1341"/>
      <c r="E291" s="1342"/>
      <c r="F291" s="1640" t="s">
        <v>572</v>
      </c>
      <c r="G291" s="1541"/>
      <c r="H291" s="1541"/>
      <c r="I291" s="1541"/>
      <c r="J291" s="1541"/>
      <c r="K291" s="1541"/>
      <c r="L291" s="1541"/>
      <c r="M291" s="1541"/>
      <c r="N291" s="1541"/>
      <c r="O291" s="1541"/>
      <c r="P291" s="1541"/>
      <c r="Q291" s="1541"/>
      <c r="R291" s="1541"/>
      <c r="S291" s="1541"/>
      <c r="T291" s="1541"/>
      <c r="U291" s="1541"/>
      <c r="V291" s="1541"/>
      <c r="W291" s="1541"/>
      <c r="X291" s="1541"/>
      <c r="Y291" s="1541"/>
      <c r="Z291" s="1541"/>
      <c r="AA291" s="1541"/>
      <c r="AB291" s="1541"/>
      <c r="AC291" s="1541"/>
      <c r="AD291" s="1641"/>
      <c r="AE291" s="707"/>
      <c r="AF291" s="707"/>
      <c r="AG291" s="707"/>
      <c r="AI291" s="938"/>
    </row>
    <row r="292" spans="1:39" ht="15" customHeight="1" thickBot="1">
      <c r="A292" s="935"/>
      <c r="B292" s="935"/>
      <c r="C292" s="935"/>
      <c r="D292" s="935"/>
      <c r="E292" s="935"/>
      <c r="F292" s="937"/>
      <c r="G292" s="937"/>
      <c r="H292" s="937"/>
      <c r="I292" s="937"/>
      <c r="J292" s="937"/>
      <c r="K292" s="937"/>
      <c r="L292" s="937"/>
      <c r="M292" s="937"/>
      <c r="N292" s="937"/>
      <c r="O292" s="937"/>
      <c r="P292" s="937"/>
      <c r="Q292" s="937"/>
      <c r="R292" s="937"/>
      <c r="S292" s="937"/>
      <c r="T292" s="937"/>
      <c r="U292" s="937"/>
      <c r="V292" s="937"/>
      <c r="W292" s="937"/>
      <c r="X292" s="937"/>
      <c r="Y292" s="937"/>
      <c r="Z292" s="937"/>
      <c r="AA292" s="937"/>
      <c r="AB292" s="937"/>
      <c r="AC292" s="937"/>
      <c r="AD292" s="937"/>
      <c r="AE292" s="707"/>
      <c r="AF292" s="707"/>
      <c r="AG292" s="707"/>
      <c r="AI292" s="938"/>
    </row>
    <row r="293" spans="1:39" s="100" customFormat="1" ht="15" customHeight="1" thickBot="1">
      <c r="A293" s="1487" t="s">
        <v>1134</v>
      </c>
      <c r="B293" s="1487"/>
      <c r="C293" s="1487"/>
      <c r="D293" s="1487"/>
      <c r="E293" s="1487"/>
      <c r="F293" s="1487"/>
      <c r="G293" s="1487"/>
      <c r="H293" s="1487"/>
      <c r="I293" s="1488"/>
      <c r="J293" s="1311" t="str">
        <f>IF(AND(AI294,AI296,AI298),"○","×")</f>
        <v>×</v>
      </c>
      <c r="K293" s="1312"/>
      <c r="L293" s="1312"/>
      <c r="M293" s="1312"/>
      <c r="N293" s="1313"/>
      <c r="O293" s="1427" t="s">
        <v>167</v>
      </c>
      <c r="P293" s="1277"/>
      <c r="Q293" s="1277"/>
      <c r="R293" s="958"/>
      <c r="S293" s="958"/>
      <c r="T293" s="958"/>
      <c r="U293" s="958"/>
      <c r="V293" s="715"/>
      <c r="W293" s="715"/>
      <c r="X293" s="715"/>
      <c r="Y293" s="715"/>
      <c r="Z293" s="715"/>
      <c r="AA293" s="715"/>
      <c r="AB293" s="715"/>
      <c r="AC293" s="715"/>
      <c r="AD293" s="715"/>
      <c r="AE293" s="958"/>
      <c r="AF293" s="707"/>
      <c r="AG293" s="707"/>
      <c r="AH293" s="87"/>
      <c r="AI293" s="938"/>
      <c r="AJ293" s="87"/>
      <c r="AK293" s="87"/>
      <c r="AL293" s="87"/>
      <c r="AM293" s="87"/>
    </row>
    <row r="294" spans="1:39" s="100" customFormat="1" ht="15" customHeight="1">
      <c r="A294" s="1310" t="s">
        <v>168</v>
      </c>
      <c r="B294" s="1310"/>
      <c r="C294" s="1310"/>
      <c r="D294" s="1310"/>
      <c r="E294" s="1310"/>
      <c r="F294" s="1338"/>
      <c r="G294" s="1338"/>
      <c r="H294" s="1338"/>
      <c r="I294" s="1338"/>
      <c r="J294" s="1339"/>
      <c r="K294" s="1339"/>
      <c r="L294" s="707"/>
      <c r="M294" s="707"/>
      <c r="N294" s="707"/>
      <c r="O294" s="707"/>
      <c r="P294" s="707"/>
      <c r="Q294" s="707"/>
      <c r="R294" s="707"/>
      <c r="S294" s="707"/>
      <c r="T294" s="707"/>
      <c r="U294" s="707"/>
      <c r="V294" s="707"/>
      <c r="W294" s="707"/>
      <c r="X294" s="707"/>
      <c r="Y294" s="707"/>
      <c r="Z294" s="707"/>
      <c r="AA294" s="707"/>
      <c r="AB294" s="707"/>
      <c r="AC294" s="707"/>
      <c r="AD294" s="707"/>
      <c r="AE294" s="707"/>
      <c r="AF294" s="707"/>
      <c r="AG294" s="707"/>
      <c r="AH294" s="87"/>
      <c r="AI294" s="312" t="b">
        <f>F294="申請する"</f>
        <v>0</v>
      </c>
    </row>
    <row r="295" spans="1:39" s="100" customFormat="1" ht="15" customHeight="1">
      <c r="A295" s="1416" t="s">
        <v>717</v>
      </c>
      <c r="B295" s="1362"/>
      <c r="C295" s="1362"/>
      <c r="D295" s="1362"/>
      <c r="E295" s="1362"/>
      <c r="F295" s="1296" t="s">
        <v>169</v>
      </c>
      <c r="G295" s="1310"/>
      <c r="H295" s="1310"/>
      <c r="I295" s="1310"/>
      <c r="J295" s="1310"/>
      <c r="K295" s="1310"/>
      <c r="L295" s="1310"/>
      <c r="M295" s="1310"/>
      <c r="N295" s="1310"/>
      <c r="O295" s="1310"/>
      <c r="P295" s="1310"/>
      <c r="Q295" s="1310"/>
      <c r="R295" s="1310"/>
      <c r="S295" s="1310"/>
      <c r="T295" s="1310"/>
      <c r="U295" s="1310"/>
      <c r="V295" s="1310"/>
      <c r="W295" s="1310"/>
      <c r="X295" s="1310"/>
      <c r="Y295" s="1310"/>
      <c r="Z295" s="1310"/>
      <c r="AA295" s="1310" t="s">
        <v>170</v>
      </c>
      <c r="AB295" s="1310"/>
      <c r="AC295" s="1310"/>
      <c r="AD295" s="1310"/>
      <c r="AE295" s="668"/>
      <c r="AF295" s="668"/>
      <c r="AG295" s="668"/>
      <c r="AI295" s="80"/>
    </row>
    <row r="296" spans="1:39" s="100" customFormat="1" ht="15" customHeight="1">
      <c r="A296" s="1497"/>
      <c r="B296" s="1498"/>
      <c r="C296" s="1498"/>
      <c r="D296" s="1498"/>
      <c r="E296" s="1499"/>
      <c r="F296" s="941">
        <v>1</v>
      </c>
      <c r="G296" s="1394" t="s">
        <v>474</v>
      </c>
      <c r="H296" s="1394"/>
      <c r="I296" s="1394"/>
      <c r="J296" s="1394"/>
      <c r="K296" s="1394"/>
      <c r="L296" s="1394"/>
      <c r="M296" s="1394"/>
      <c r="N296" s="1394"/>
      <c r="O296" s="1394"/>
      <c r="P296" s="1394"/>
      <c r="Q296" s="1394"/>
      <c r="R296" s="1394"/>
      <c r="S296" s="1394"/>
      <c r="T296" s="1394"/>
      <c r="U296" s="1394"/>
      <c r="V296" s="1394"/>
      <c r="W296" s="1394"/>
      <c r="X296" s="1394"/>
      <c r="Y296" s="1394"/>
      <c r="Z296" s="1395"/>
      <c r="AA296" s="1273" t="str">
        <f>IF(M297&gt;=271,"○","×")</f>
        <v>×</v>
      </c>
      <c r="AB296" s="1274"/>
      <c r="AC296" s="1274"/>
      <c r="AD296" s="1275"/>
      <c r="AE296" s="668"/>
      <c r="AF296" s="668"/>
      <c r="AG296" s="668"/>
      <c r="AI296" s="1423" t="b">
        <f>AA296="○"</f>
        <v>0</v>
      </c>
    </row>
    <row r="297" spans="1:39" s="100" customFormat="1" ht="15" customHeight="1">
      <c r="A297" s="1497"/>
      <c r="B297" s="1498"/>
      <c r="C297" s="1498"/>
      <c r="D297" s="1498"/>
      <c r="E297" s="1499"/>
      <c r="F297" s="1364" t="s">
        <v>178</v>
      </c>
      <c r="G297" s="1365"/>
      <c r="H297" s="1365"/>
      <c r="I297" s="1365"/>
      <c r="J297" s="1365"/>
      <c r="K297" s="1365"/>
      <c r="L297" s="1366"/>
      <c r="M297" s="1424">
        <f>$D$14</f>
        <v>0</v>
      </c>
      <c r="N297" s="1425"/>
      <c r="O297" s="1425"/>
      <c r="P297" s="1425"/>
      <c r="Q297" s="1425"/>
      <c r="R297" s="1425"/>
      <c r="S297" s="1425"/>
      <c r="T297" s="1425"/>
      <c r="U297" s="1425"/>
      <c r="V297" s="1425"/>
      <c r="W297" s="1425"/>
      <c r="X297" s="1425"/>
      <c r="Y297" s="1425"/>
      <c r="Z297" s="1426"/>
      <c r="AA297" s="1340"/>
      <c r="AB297" s="1341"/>
      <c r="AC297" s="1341"/>
      <c r="AD297" s="1342"/>
      <c r="AE297" s="668"/>
      <c r="AF297" s="668"/>
      <c r="AG297" s="668"/>
      <c r="AI297" s="1423"/>
    </row>
    <row r="298" spans="1:39" ht="15" customHeight="1">
      <c r="A298" s="1497"/>
      <c r="B298" s="1498"/>
      <c r="C298" s="1498"/>
      <c r="D298" s="1498"/>
      <c r="E298" s="1499"/>
      <c r="F298" s="941">
        <v>2</v>
      </c>
      <c r="G298" s="1430" t="s">
        <v>537</v>
      </c>
      <c r="H298" s="1430"/>
      <c r="I298" s="1430"/>
      <c r="J298" s="1430"/>
      <c r="K298" s="1430"/>
      <c r="L298" s="1430"/>
      <c r="M298" s="1430"/>
      <c r="N298" s="1430"/>
      <c r="O298" s="1430"/>
      <c r="P298" s="1430"/>
      <c r="Q298" s="1430"/>
      <c r="R298" s="1430"/>
      <c r="S298" s="1430"/>
      <c r="T298" s="1430"/>
      <c r="U298" s="1430"/>
      <c r="V298" s="1430"/>
      <c r="W298" s="1430"/>
      <c r="X298" s="1430"/>
      <c r="Y298" s="1430"/>
      <c r="Z298" s="1431"/>
      <c r="AA298" s="1361" t="str">
        <f>【様式５】職員数算出表!O35</f>
        <v>-</v>
      </c>
      <c r="AB298" s="1362"/>
      <c r="AC298" s="1362"/>
      <c r="AD298" s="1363"/>
      <c r="AE298" s="668"/>
      <c r="AF298" s="668"/>
      <c r="AG298" s="668"/>
      <c r="AH298" s="100"/>
      <c r="AI298" s="312" t="b">
        <f>AA298="○"</f>
        <v>0</v>
      </c>
      <c r="AJ298" s="100"/>
      <c r="AK298" s="100"/>
      <c r="AL298" s="100"/>
      <c r="AM298" s="100"/>
    </row>
    <row r="299" spans="1:39" ht="15" customHeight="1">
      <c r="A299" s="1422" t="s">
        <v>180</v>
      </c>
      <c r="B299" s="1422"/>
      <c r="C299" s="1422"/>
      <c r="D299" s="1422"/>
      <c r="E299" s="1422"/>
      <c r="F299" s="1503" t="s">
        <v>447</v>
      </c>
      <c r="G299" s="1503"/>
      <c r="H299" s="1503"/>
      <c r="I299" s="1503"/>
      <c r="J299" s="1503"/>
      <c r="K299" s="1503"/>
      <c r="L299" s="1503"/>
      <c r="M299" s="1503"/>
      <c r="N299" s="1503"/>
      <c r="O299" s="1503"/>
      <c r="P299" s="1503"/>
      <c r="Q299" s="1503"/>
      <c r="R299" s="1503"/>
      <c r="S299" s="1503"/>
      <c r="T299" s="1503"/>
      <c r="U299" s="1503"/>
      <c r="V299" s="1503"/>
      <c r="W299" s="1503"/>
      <c r="X299" s="1503"/>
      <c r="Y299" s="1503"/>
      <c r="Z299" s="1503"/>
      <c r="AA299" s="1503"/>
      <c r="AB299" s="1503"/>
      <c r="AC299" s="1503"/>
      <c r="AD299" s="1503"/>
      <c r="AE299" s="668"/>
      <c r="AF299" s="668"/>
      <c r="AG299" s="668"/>
      <c r="AH299" s="100"/>
      <c r="AI299" s="80"/>
    </row>
    <row r="300" spans="1:39" ht="15" customHeight="1">
      <c r="A300" s="594" t="s">
        <v>201</v>
      </c>
      <c r="B300" s="668"/>
      <c r="C300" s="668"/>
      <c r="D300" s="668"/>
      <c r="E300" s="668"/>
      <c r="F300" s="668"/>
      <c r="G300" s="668"/>
      <c r="H300" s="668"/>
      <c r="I300" s="668"/>
      <c r="J300" s="668"/>
      <c r="K300" s="668"/>
      <c r="L300" s="668"/>
      <c r="M300" s="668"/>
      <c r="N300" s="668"/>
      <c r="O300" s="668"/>
      <c r="P300" s="668"/>
      <c r="Q300" s="668"/>
      <c r="R300" s="668"/>
      <c r="S300" s="668"/>
      <c r="T300" s="668"/>
      <c r="U300" s="668"/>
      <c r="V300" s="668"/>
      <c r="W300" s="668"/>
      <c r="X300" s="668"/>
      <c r="Y300" s="668"/>
      <c r="Z300" s="668"/>
      <c r="AA300" s="668"/>
      <c r="AB300" s="668"/>
      <c r="AC300" s="668"/>
      <c r="AD300" s="668"/>
      <c r="AE300" s="668"/>
      <c r="AF300" s="668"/>
      <c r="AG300" s="668"/>
      <c r="AH300" s="100"/>
      <c r="AI300" s="80"/>
      <c r="AJ300" s="100"/>
      <c r="AK300" s="100"/>
      <c r="AL300" s="100"/>
      <c r="AM300" s="100"/>
    </row>
    <row r="301" spans="1:39" ht="15" customHeight="1" thickBot="1">
      <c r="A301" s="935"/>
      <c r="B301" s="935"/>
      <c r="C301" s="935"/>
      <c r="D301" s="935"/>
      <c r="E301" s="935"/>
      <c r="F301" s="945"/>
      <c r="G301" s="945"/>
      <c r="H301" s="945"/>
      <c r="I301" s="945"/>
      <c r="J301" s="945"/>
      <c r="K301" s="945"/>
      <c r="L301" s="945"/>
      <c r="M301" s="945"/>
      <c r="N301" s="945"/>
      <c r="O301" s="945"/>
      <c r="P301" s="945"/>
      <c r="Q301" s="945"/>
      <c r="R301" s="945"/>
      <c r="S301" s="945"/>
      <c r="T301" s="945"/>
      <c r="U301" s="945"/>
      <c r="V301" s="945"/>
      <c r="W301" s="945"/>
      <c r="X301" s="945"/>
      <c r="Y301" s="945"/>
      <c r="Z301" s="945"/>
      <c r="AA301" s="945"/>
      <c r="AB301" s="945"/>
      <c r="AC301" s="945"/>
      <c r="AD301" s="945"/>
      <c r="AE301" s="707"/>
      <c r="AF301" s="707"/>
      <c r="AG301" s="707"/>
      <c r="AI301" s="938"/>
    </row>
    <row r="302" spans="1:39" ht="15" customHeight="1" thickBot="1">
      <c r="A302" s="1487" t="s">
        <v>1135</v>
      </c>
      <c r="B302" s="1487"/>
      <c r="C302" s="1487"/>
      <c r="D302" s="1487"/>
      <c r="E302" s="1487"/>
      <c r="F302" s="1487"/>
      <c r="G302" s="1487"/>
      <c r="H302" s="1487"/>
      <c r="I302" s="1488"/>
      <c r="J302" s="1311" t="str">
        <f>IF(AND(AI303,AI305,AI307,AI308),"○","×")</f>
        <v>×</v>
      </c>
      <c r="K302" s="1312"/>
      <c r="L302" s="1312"/>
      <c r="M302" s="1312"/>
      <c r="N302" s="1313"/>
      <c r="O302" s="1427" t="s">
        <v>167</v>
      </c>
      <c r="P302" s="1277"/>
      <c r="Q302" s="1277"/>
      <c r="R302" s="958"/>
      <c r="S302" s="958"/>
      <c r="T302" s="958"/>
      <c r="U302" s="958"/>
      <c r="V302" s="715"/>
      <c r="W302" s="715"/>
      <c r="X302" s="715"/>
      <c r="Y302" s="715"/>
      <c r="Z302" s="715"/>
      <c r="AA302" s="715"/>
      <c r="AB302" s="715"/>
      <c r="AC302" s="715"/>
      <c r="AD302" s="715"/>
      <c r="AE302" s="958"/>
      <c r="AF302" s="707"/>
      <c r="AG302" s="707"/>
      <c r="AI302" s="938"/>
    </row>
    <row r="303" spans="1:39" ht="15" customHeight="1">
      <c r="A303" s="1310" t="s">
        <v>168</v>
      </c>
      <c r="B303" s="1310"/>
      <c r="C303" s="1310"/>
      <c r="D303" s="1310"/>
      <c r="E303" s="1310"/>
      <c r="F303" s="1338"/>
      <c r="G303" s="1338"/>
      <c r="H303" s="1338"/>
      <c r="I303" s="1338"/>
      <c r="J303" s="1339"/>
      <c r="K303" s="1339"/>
      <c r="L303" s="707"/>
      <c r="M303" s="707"/>
      <c r="N303" s="707"/>
      <c r="O303" s="707"/>
      <c r="P303" s="707"/>
      <c r="Q303" s="707"/>
      <c r="R303" s="707"/>
      <c r="S303" s="707"/>
      <c r="T303" s="707"/>
      <c r="U303" s="707"/>
      <c r="V303" s="707"/>
      <c r="W303" s="707"/>
      <c r="X303" s="707"/>
      <c r="Y303" s="707"/>
      <c r="Z303" s="707"/>
      <c r="AA303" s="707"/>
      <c r="AB303" s="707"/>
      <c r="AC303" s="707"/>
      <c r="AD303" s="707"/>
      <c r="AE303" s="707"/>
      <c r="AF303" s="707"/>
      <c r="AG303" s="707"/>
      <c r="AI303" s="312" t="b">
        <f>F303="申請する"</f>
        <v>0</v>
      </c>
    </row>
    <row r="304" spans="1:39" ht="15" customHeight="1">
      <c r="A304" s="1416" t="s">
        <v>319</v>
      </c>
      <c r="B304" s="1362"/>
      <c r="C304" s="1362"/>
      <c r="D304" s="1362"/>
      <c r="E304" s="1362"/>
      <c r="F304" s="1296" t="s">
        <v>169</v>
      </c>
      <c r="G304" s="1310"/>
      <c r="H304" s="1310"/>
      <c r="I304" s="1310"/>
      <c r="J304" s="1310"/>
      <c r="K304" s="1310"/>
      <c r="L304" s="1310"/>
      <c r="M304" s="1310"/>
      <c r="N304" s="1310"/>
      <c r="O304" s="1310"/>
      <c r="P304" s="1310"/>
      <c r="Q304" s="1310"/>
      <c r="R304" s="1310"/>
      <c r="S304" s="1310"/>
      <c r="T304" s="1310"/>
      <c r="U304" s="1310"/>
      <c r="V304" s="1310"/>
      <c r="W304" s="1310"/>
      <c r="X304" s="1310"/>
      <c r="Y304" s="1310"/>
      <c r="Z304" s="1310"/>
      <c r="AA304" s="1310" t="s">
        <v>170</v>
      </c>
      <c r="AB304" s="1310"/>
      <c r="AC304" s="1310"/>
      <c r="AD304" s="1310"/>
      <c r="AE304" s="668"/>
      <c r="AF304" s="668"/>
      <c r="AG304" s="668"/>
      <c r="AH304" s="100"/>
      <c r="AI304" s="80"/>
    </row>
    <row r="305" spans="1:35" ht="15" customHeight="1">
      <c r="A305" s="1497"/>
      <c r="B305" s="1498"/>
      <c r="C305" s="1498"/>
      <c r="D305" s="1498"/>
      <c r="E305" s="1499"/>
      <c r="F305" s="941">
        <v>1</v>
      </c>
      <c r="G305" s="1394" t="s">
        <v>474</v>
      </c>
      <c r="H305" s="1394"/>
      <c r="I305" s="1394"/>
      <c r="J305" s="1394"/>
      <c r="K305" s="1394"/>
      <c r="L305" s="1394"/>
      <c r="M305" s="1394"/>
      <c r="N305" s="1394"/>
      <c r="O305" s="1394"/>
      <c r="P305" s="1394"/>
      <c r="Q305" s="1394"/>
      <c r="R305" s="1394"/>
      <c r="S305" s="1394"/>
      <c r="T305" s="1394"/>
      <c r="U305" s="1394"/>
      <c r="V305" s="1394"/>
      <c r="W305" s="1394"/>
      <c r="X305" s="1394"/>
      <c r="Y305" s="1394"/>
      <c r="Z305" s="1395"/>
      <c r="AA305" s="1273" t="str">
        <f>IF(M306&gt;=271,"○","×")</f>
        <v>×</v>
      </c>
      <c r="AB305" s="1274"/>
      <c r="AC305" s="1274"/>
      <c r="AD305" s="1275"/>
      <c r="AE305" s="668"/>
      <c r="AF305" s="668"/>
      <c r="AG305" s="668"/>
      <c r="AH305" s="100"/>
      <c r="AI305" s="1423" t="b">
        <f>AA305="○"</f>
        <v>0</v>
      </c>
    </row>
    <row r="306" spans="1:35" ht="15" customHeight="1">
      <c r="A306" s="1497"/>
      <c r="B306" s="1498"/>
      <c r="C306" s="1498"/>
      <c r="D306" s="1498"/>
      <c r="E306" s="1499"/>
      <c r="F306" s="1364" t="s">
        <v>178</v>
      </c>
      <c r="G306" s="1365"/>
      <c r="H306" s="1365"/>
      <c r="I306" s="1365"/>
      <c r="J306" s="1365"/>
      <c r="K306" s="1365"/>
      <c r="L306" s="1366"/>
      <c r="M306" s="1424">
        <f>$D$14</f>
        <v>0</v>
      </c>
      <c r="N306" s="1425"/>
      <c r="O306" s="1425"/>
      <c r="P306" s="1425"/>
      <c r="Q306" s="1425"/>
      <c r="R306" s="1425"/>
      <c r="S306" s="1425"/>
      <c r="T306" s="1425"/>
      <c r="U306" s="1425"/>
      <c r="V306" s="1425"/>
      <c r="W306" s="1425"/>
      <c r="X306" s="1425"/>
      <c r="Y306" s="1425"/>
      <c r="Z306" s="1426"/>
      <c r="AA306" s="1340"/>
      <c r="AB306" s="1341"/>
      <c r="AC306" s="1341"/>
      <c r="AD306" s="1342"/>
      <c r="AE306" s="668"/>
      <c r="AF306" s="668"/>
      <c r="AG306" s="668"/>
      <c r="AH306" s="100"/>
      <c r="AI306" s="1423"/>
    </row>
    <row r="307" spans="1:35" ht="15" customHeight="1">
      <c r="A307" s="1497"/>
      <c r="B307" s="1498"/>
      <c r="C307" s="1498"/>
      <c r="D307" s="1498"/>
      <c r="E307" s="1499"/>
      <c r="F307" s="941">
        <v>2</v>
      </c>
      <c r="G307" s="1430" t="s">
        <v>475</v>
      </c>
      <c r="H307" s="1430"/>
      <c r="I307" s="1430"/>
      <c r="J307" s="1430"/>
      <c r="K307" s="1430"/>
      <c r="L307" s="1430"/>
      <c r="M307" s="1430"/>
      <c r="N307" s="1430"/>
      <c r="O307" s="1430"/>
      <c r="P307" s="1430"/>
      <c r="Q307" s="1430"/>
      <c r="R307" s="1430"/>
      <c r="S307" s="1430"/>
      <c r="T307" s="1430"/>
      <c r="U307" s="1430"/>
      <c r="V307" s="1430"/>
      <c r="W307" s="1430"/>
      <c r="X307" s="1430"/>
      <c r="Y307" s="1430"/>
      <c r="Z307" s="1431"/>
      <c r="AA307" s="1361" t="str">
        <f>IF(J280="","×",J280)</f>
        <v>×</v>
      </c>
      <c r="AB307" s="1362"/>
      <c r="AC307" s="1362"/>
      <c r="AD307" s="1363"/>
      <c r="AE307" s="668"/>
      <c r="AF307" s="668"/>
      <c r="AG307" s="668"/>
      <c r="AH307" s="100"/>
      <c r="AI307" s="962" t="b">
        <f>AA307="○"</f>
        <v>0</v>
      </c>
    </row>
    <row r="308" spans="1:35" ht="15" customHeight="1">
      <c r="A308" s="1497"/>
      <c r="B308" s="1498"/>
      <c r="C308" s="1498"/>
      <c r="D308" s="1498"/>
      <c r="E308" s="1499"/>
      <c r="F308" s="941">
        <v>3</v>
      </c>
      <c r="G308" s="1430" t="s">
        <v>573</v>
      </c>
      <c r="H308" s="1430"/>
      <c r="I308" s="1430"/>
      <c r="J308" s="1430"/>
      <c r="K308" s="1430"/>
      <c r="L308" s="1430"/>
      <c r="M308" s="1430"/>
      <c r="N308" s="1430"/>
      <c r="O308" s="1430"/>
      <c r="P308" s="1430"/>
      <c r="Q308" s="1430"/>
      <c r="R308" s="1430"/>
      <c r="S308" s="1430"/>
      <c r="T308" s="1430"/>
      <c r="U308" s="1430"/>
      <c r="V308" s="1430"/>
      <c r="W308" s="1430"/>
      <c r="X308" s="1430"/>
      <c r="Y308" s="1430"/>
      <c r="Z308" s="1431"/>
      <c r="AA308" s="1361" t="str">
        <f>【様式５】職員数算出表!O41</f>
        <v>-</v>
      </c>
      <c r="AB308" s="1362"/>
      <c r="AC308" s="1362"/>
      <c r="AD308" s="1363"/>
      <c r="AE308" s="668"/>
      <c r="AF308" s="668"/>
      <c r="AG308" s="668"/>
      <c r="AH308" s="100"/>
      <c r="AI308" s="962" t="b">
        <f>AA308="○"</f>
        <v>0</v>
      </c>
    </row>
    <row r="309" spans="1:35" ht="15" customHeight="1">
      <c r="A309" s="1273" t="s">
        <v>67</v>
      </c>
      <c r="B309" s="1274"/>
      <c r="C309" s="1274"/>
      <c r="D309" s="1274"/>
      <c r="E309" s="1275"/>
      <c r="F309" s="1455" t="s">
        <v>447</v>
      </c>
      <c r="G309" s="1432"/>
      <c r="H309" s="1432"/>
      <c r="I309" s="1432"/>
      <c r="J309" s="1432"/>
      <c r="K309" s="1432"/>
      <c r="L309" s="1432"/>
      <c r="M309" s="1432"/>
      <c r="N309" s="1432"/>
      <c r="O309" s="1432"/>
      <c r="P309" s="1432"/>
      <c r="Q309" s="1432"/>
      <c r="R309" s="1432"/>
      <c r="S309" s="1432"/>
      <c r="T309" s="1432"/>
      <c r="U309" s="1432"/>
      <c r="V309" s="1432"/>
      <c r="W309" s="1432"/>
      <c r="X309" s="1432"/>
      <c r="Y309" s="1432"/>
      <c r="Z309" s="1432"/>
      <c r="AA309" s="1432"/>
      <c r="AB309" s="1432"/>
      <c r="AC309" s="1432"/>
      <c r="AD309" s="1433"/>
      <c r="AE309" s="958"/>
      <c r="AF309" s="707"/>
      <c r="AG309" s="707"/>
      <c r="AI309" s="938"/>
    </row>
    <row r="310" spans="1:35" ht="15" customHeight="1">
      <c r="A310" s="1340"/>
      <c r="B310" s="1341"/>
      <c r="C310" s="1341"/>
      <c r="D310" s="1341"/>
      <c r="E310" s="1342"/>
      <c r="F310" s="1640" t="s">
        <v>572</v>
      </c>
      <c r="G310" s="1541"/>
      <c r="H310" s="1541"/>
      <c r="I310" s="1541"/>
      <c r="J310" s="1541"/>
      <c r="K310" s="1541"/>
      <c r="L310" s="1541"/>
      <c r="M310" s="1541"/>
      <c r="N310" s="1541"/>
      <c r="O310" s="1541"/>
      <c r="P310" s="1541"/>
      <c r="Q310" s="1541"/>
      <c r="R310" s="1541"/>
      <c r="S310" s="1541"/>
      <c r="T310" s="1541"/>
      <c r="U310" s="1541"/>
      <c r="V310" s="1541"/>
      <c r="W310" s="1541"/>
      <c r="X310" s="1541"/>
      <c r="Y310" s="1541"/>
      <c r="Z310" s="1541"/>
      <c r="AA310" s="1541"/>
      <c r="AB310" s="1541"/>
      <c r="AC310" s="1541"/>
      <c r="AD310" s="1641"/>
      <c r="AE310" s="707"/>
      <c r="AF310" s="707"/>
      <c r="AG310" s="707"/>
      <c r="AI310" s="938"/>
    </row>
    <row r="311" spans="1:35" ht="15" customHeight="1" thickBot="1">
      <c r="A311" s="935"/>
      <c r="B311" s="935"/>
      <c r="C311" s="935"/>
      <c r="D311" s="935"/>
      <c r="E311" s="935"/>
      <c r="F311" s="945"/>
      <c r="G311" s="945"/>
      <c r="H311" s="945"/>
      <c r="I311" s="945"/>
      <c r="J311" s="945"/>
      <c r="K311" s="945"/>
      <c r="L311" s="945"/>
      <c r="M311" s="945"/>
      <c r="N311" s="945"/>
      <c r="O311" s="945"/>
      <c r="P311" s="945"/>
      <c r="Q311" s="945"/>
      <c r="R311" s="945"/>
      <c r="S311" s="945"/>
      <c r="T311" s="945"/>
      <c r="U311" s="945"/>
      <c r="V311" s="945"/>
      <c r="W311" s="945"/>
      <c r="X311" s="945"/>
      <c r="Y311" s="945"/>
      <c r="Z311" s="945"/>
      <c r="AA311" s="945"/>
      <c r="AB311" s="945"/>
      <c r="AC311" s="945"/>
      <c r="AD311" s="945"/>
      <c r="AE311" s="707"/>
      <c r="AF311" s="707"/>
      <c r="AG311" s="707"/>
      <c r="AI311" s="938"/>
    </row>
    <row r="312" spans="1:35" ht="15" customHeight="1" thickBot="1">
      <c r="A312" s="1301" t="s">
        <v>1142</v>
      </c>
      <c r="B312" s="1301"/>
      <c r="C312" s="1301"/>
      <c r="D312" s="1301"/>
      <c r="E312" s="1301"/>
      <c r="F312" s="1301"/>
      <c r="G312" s="1301"/>
      <c r="H312" s="1301"/>
      <c r="I312" s="1301"/>
      <c r="J312" s="1311" t="str">
        <f>IF(AND(AI313,AI315,AI316),AA316,"×")</f>
        <v>×</v>
      </c>
      <c r="K312" s="1312"/>
      <c r="L312" s="1312"/>
      <c r="M312" s="1312"/>
      <c r="N312" s="1313"/>
      <c r="O312" s="1427" t="s">
        <v>167</v>
      </c>
      <c r="P312" s="1277"/>
      <c r="Q312" s="1277"/>
      <c r="R312" s="707"/>
      <c r="S312" s="707"/>
      <c r="T312" s="707"/>
      <c r="U312" s="707"/>
      <c r="V312" s="715"/>
      <c r="W312" s="715"/>
      <c r="X312" s="715"/>
      <c r="Y312" s="715"/>
      <c r="Z312" s="715"/>
      <c r="AA312" s="715"/>
      <c r="AB312" s="715"/>
      <c r="AC312" s="715"/>
      <c r="AD312" s="715"/>
      <c r="AE312" s="707"/>
      <c r="AF312" s="707"/>
      <c r="AG312" s="707"/>
      <c r="AH312" s="100"/>
    </row>
    <row r="313" spans="1:35" ht="15" customHeight="1">
      <c r="A313" s="1310" t="s">
        <v>150</v>
      </c>
      <c r="B313" s="1310"/>
      <c r="C313" s="1310"/>
      <c r="D313" s="1310"/>
      <c r="E313" s="1310"/>
      <c r="F313" s="1338"/>
      <c r="G313" s="1338"/>
      <c r="H313" s="1338"/>
      <c r="I313" s="1338"/>
      <c r="J313" s="1339"/>
      <c r="K313" s="1339"/>
      <c r="L313" s="707"/>
      <c r="M313" s="707"/>
      <c r="N313" s="707"/>
      <c r="O313" s="707"/>
      <c r="P313" s="707"/>
      <c r="Q313" s="707"/>
      <c r="R313" s="707"/>
      <c r="S313" s="707"/>
      <c r="T313" s="707"/>
      <c r="U313" s="707"/>
      <c r="V313" s="935"/>
      <c r="W313" s="935"/>
      <c r="X313" s="935"/>
      <c r="Y313" s="935"/>
      <c r="Z313" s="935"/>
      <c r="AA313" s="935"/>
      <c r="AB313" s="935"/>
      <c r="AC313" s="935"/>
      <c r="AD313" s="935"/>
      <c r="AE313" s="707"/>
      <c r="AF313" s="707"/>
      <c r="AG313" s="707"/>
      <c r="AH313" s="100"/>
      <c r="AI313" s="312" t="b">
        <f>F313="申請する"</f>
        <v>0</v>
      </c>
    </row>
    <row r="314" spans="1:35" ht="15" customHeight="1">
      <c r="A314" s="1297" t="s">
        <v>507</v>
      </c>
      <c r="B314" s="1298"/>
      <c r="C314" s="1298"/>
      <c r="D314" s="1298"/>
      <c r="E314" s="1298"/>
      <c r="F314" s="1295" t="s">
        <v>131</v>
      </c>
      <c r="G314" s="1295"/>
      <c r="H314" s="1295"/>
      <c r="I314" s="1295"/>
      <c r="J314" s="1295"/>
      <c r="K314" s="1295"/>
      <c r="L314" s="1295"/>
      <c r="M314" s="1295"/>
      <c r="N314" s="1295"/>
      <c r="O314" s="1295"/>
      <c r="P314" s="1295"/>
      <c r="Q314" s="1295"/>
      <c r="R314" s="1295"/>
      <c r="S314" s="1295"/>
      <c r="T314" s="1295"/>
      <c r="U314" s="1295"/>
      <c r="V314" s="1295"/>
      <c r="W314" s="1295"/>
      <c r="X314" s="1295"/>
      <c r="Y314" s="1295"/>
      <c r="Z314" s="1296"/>
      <c r="AA314" s="1294" t="s">
        <v>170</v>
      </c>
      <c r="AB314" s="1295"/>
      <c r="AC314" s="1295"/>
      <c r="AD314" s="1296"/>
      <c r="AE314" s="707"/>
      <c r="AF314" s="707"/>
      <c r="AG314" s="707"/>
      <c r="AH314" s="100"/>
    </row>
    <row r="315" spans="1:35" ht="39.950000000000003" customHeight="1">
      <c r="A315" s="1299"/>
      <c r="B315" s="1300"/>
      <c r="C315" s="1300"/>
      <c r="D315" s="1300"/>
      <c r="E315" s="1300"/>
      <c r="F315" s="78">
        <v>1</v>
      </c>
      <c r="G315" s="1432" t="s">
        <v>1147</v>
      </c>
      <c r="H315" s="1432"/>
      <c r="I315" s="1432"/>
      <c r="J315" s="1432"/>
      <c r="K315" s="1432"/>
      <c r="L315" s="1432"/>
      <c r="M315" s="1432"/>
      <c r="N315" s="1432"/>
      <c r="O315" s="1432"/>
      <c r="P315" s="1432"/>
      <c r="Q315" s="1432"/>
      <c r="R315" s="1432"/>
      <c r="S315" s="1432"/>
      <c r="T315" s="1432"/>
      <c r="U315" s="1432"/>
      <c r="V315" s="1432"/>
      <c r="W315" s="1432"/>
      <c r="X315" s="1432"/>
      <c r="Y315" s="1432"/>
      <c r="Z315" s="1433"/>
      <c r="AA315" s="1351"/>
      <c r="AB315" s="1352"/>
      <c r="AC315" s="1352"/>
      <c r="AD315" s="1353"/>
      <c r="AE315" s="707"/>
      <c r="AF315" s="707"/>
      <c r="AG315" s="707"/>
      <c r="AH315" s="100"/>
      <c r="AI315" s="962" t="b">
        <f>AA315="○"</f>
        <v>0</v>
      </c>
    </row>
    <row r="316" spans="1:35" ht="15" customHeight="1">
      <c r="A316" s="1299"/>
      <c r="B316" s="1300"/>
      <c r="C316" s="1300"/>
      <c r="D316" s="1300"/>
      <c r="E316" s="1300"/>
      <c r="F316" s="933">
        <v>2</v>
      </c>
      <c r="G316" s="1711" t="s">
        <v>1148</v>
      </c>
      <c r="H316" s="1711"/>
      <c r="I316" s="1711"/>
      <c r="J316" s="1711"/>
      <c r="K316" s="1711"/>
      <c r="L316" s="1711"/>
      <c r="M316" s="1711"/>
      <c r="N316" s="1711"/>
      <c r="O316" s="1711"/>
      <c r="P316" s="1711"/>
      <c r="Q316" s="1711"/>
      <c r="R316" s="1711"/>
      <c r="S316" s="1711"/>
      <c r="T316" s="1711"/>
      <c r="U316" s="1711"/>
      <c r="V316" s="1711"/>
      <c r="W316" s="1711"/>
      <c r="X316" s="1711"/>
      <c r="Y316" s="1711"/>
      <c r="Z316" s="1712"/>
      <c r="AA316" s="1273" t="str">
        <f>IF(AND(AI320,AI318),"配置",IF(AND(AI320,AI319),"兼務",IF(AI321,"嘱託","×")))</f>
        <v>×</v>
      </c>
      <c r="AB316" s="1274"/>
      <c r="AC316" s="1274"/>
      <c r="AD316" s="1275"/>
      <c r="AE316" s="707"/>
      <c r="AF316" s="707"/>
      <c r="AG316" s="707"/>
      <c r="AH316" s="100"/>
      <c r="AI316" s="962" t="b">
        <f>OR(AA316="配置",AA316="兼務",AA316="嘱託")</f>
        <v>0</v>
      </c>
    </row>
    <row r="317" spans="1:35" ht="15" customHeight="1">
      <c r="A317" s="1299"/>
      <c r="B317" s="1300"/>
      <c r="C317" s="1300"/>
      <c r="D317" s="1300"/>
      <c r="E317" s="1300"/>
      <c r="F317" s="1485" t="s">
        <v>25</v>
      </c>
      <c r="G317" s="1486"/>
      <c r="H317" s="1288" t="s">
        <v>504</v>
      </c>
      <c r="I317" s="1288"/>
      <c r="J317" s="1288"/>
      <c r="K317" s="1288"/>
      <c r="L317" s="1288"/>
      <c r="M317" s="1288"/>
      <c r="N317" s="1288"/>
      <c r="O317" s="1288"/>
      <c r="P317" s="1288"/>
      <c r="Q317" s="1288"/>
      <c r="R317" s="1288"/>
      <c r="S317" s="1288"/>
      <c r="T317" s="1288"/>
      <c r="U317" s="1288"/>
      <c r="V317" s="1288"/>
      <c r="W317" s="1288"/>
      <c r="X317" s="1288"/>
      <c r="Y317" s="1288"/>
      <c r="Z317" s="1289"/>
      <c r="AA317" s="1714" t="str">
        <f>IF(AND(OR(AI318,AI319),AI320),"○","×")</f>
        <v>×</v>
      </c>
      <c r="AB317" s="1715"/>
      <c r="AC317" s="1715"/>
      <c r="AD317" s="1716"/>
      <c r="AE317" s="715"/>
      <c r="AF317" s="715"/>
      <c r="AG317" s="715"/>
      <c r="AH317" s="100"/>
      <c r="AI317" s="962" t="b">
        <f>AA317="○"</f>
        <v>0</v>
      </c>
    </row>
    <row r="318" spans="1:35" ht="15" customHeight="1">
      <c r="A318" s="1299"/>
      <c r="B318" s="1300"/>
      <c r="C318" s="1300"/>
      <c r="D318" s="1300"/>
      <c r="E318" s="1300"/>
      <c r="F318" s="1485" t="s">
        <v>444</v>
      </c>
      <c r="G318" s="1486"/>
      <c r="H318" s="1486"/>
      <c r="I318" s="1439" t="s">
        <v>506</v>
      </c>
      <c r="J318" s="1439"/>
      <c r="K318" s="1439"/>
      <c r="L318" s="1439"/>
      <c r="M318" s="1439"/>
      <c r="N318" s="1439"/>
      <c r="O318" s="1439"/>
      <c r="P318" s="1439"/>
      <c r="Q318" s="1439"/>
      <c r="R318" s="1439"/>
      <c r="S318" s="1439"/>
      <c r="T318" s="1439"/>
      <c r="U318" s="1439"/>
      <c r="V318" s="1439"/>
      <c r="W318" s="1439"/>
      <c r="X318" s="1439"/>
      <c r="Y318" s="1439"/>
      <c r="Z318" s="1713"/>
      <c r="AA318" s="1720"/>
      <c r="AB318" s="1721"/>
      <c r="AC318" s="1721"/>
      <c r="AD318" s="1722"/>
      <c r="AE318" s="715"/>
      <c r="AF318" s="715"/>
      <c r="AG318" s="715"/>
      <c r="AH318" s="100"/>
      <c r="AI318" s="962" t="b">
        <f>AA318="○"</f>
        <v>0</v>
      </c>
    </row>
    <row r="319" spans="1:35" ht="15" customHeight="1">
      <c r="A319" s="1299"/>
      <c r="B319" s="1300"/>
      <c r="C319" s="1300"/>
      <c r="D319" s="1300"/>
      <c r="E319" s="1300"/>
      <c r="F319" s="1485" t="s">
        <v>445</v>
      </c>
      <c r="G319" s="1486"/>
      <c r="H319" s="1486"/>
      <c r="I319" s="1439" t="s">
        <v>980</v>
      </c>
      <c r="J319" s="1439"/>
      <c r="K319" s="1439"/>
      <c r="L319" s="1439"/>
      <c r="M319" s="1439"/>
      <c r="N319" s="1439"/>
      <c r="O319" s="1439"/>
      <c r="P319" s="1439"/>
      <c r="Q319" s="1439"/>
      <c r="R319" s="1439"/>
      <c r="S319" s="1439"/>
      <c r="T319" s="1439"/>
      <c r="U319" s="1439"/>
      <c r="V319" s="1439"/>
      <c r="W319" s="1439"/>
      <c r="X319" s="1439"/>
      <c r="Y319" s="1439"/>
      <c r="Z319" s="1713"/>
      <c r="AA319" s="1720"/>
      <c r="AB319" s="1721"/>
      <c r="AC319" s="1721"/>
      <c r="AD319" s="1722"/>
      <c r="AE319" s="715"/>
      <c r="AF319" s="715"/>
      <c r="AG319" s="715"/>
      <c r="AH319" s="100"/>
      <c r="AI319" s="962" t="b">
        <f>AA319="○"</f>
        <v>0</v>
      </c>
    </row>
    <row r="320" spans="1:35" ht="15" customHeight="1">
      <c r="A320" s="1299"/>
      <c r="B320" s="1300"/>
      <c r="C320" s="1300"/>
      <c r="D320" s="1300"/>
      <c r="E320" s="1300"/>
      <c r="F320" s="1679" t="s">
        <v>728</v>
      </c>
      <c r="G320" s="1680"/>
      <c r="H320" s="1680"/>
      <c r="I320" s="1495" t="s">
        <v>729</v>
      </c>
      <c r="J320" s="1495"/>
      <c r="K320" s="1495"/>
      <c r="L320" s="1495"/>
      <c r="M320" s="1495"/>
      <c r="N320" s="1495"/>
      <c r="O320" s="1495"/>
      <c r="P320" s="1495"/>
      <c r="Q320" s="1495"/>
      <c r="R320" s="1495"/>
      <c r="S320" s="1495"/>
      <c r="T320" s="1495"/>
      <c r="U320" s="1495"/>
      <c r="V320" s="1495"/>
      <c r="W320" s="1495"/>
      <c r="X320" s="1495"/>
      <c r="Y320" s="1495"/>
      <c r="Z320" s="1496"/>
      <c r="AA320" s="1717" t="str">
        <f>【様式５】職員数算出表!O37</f>
        <v>-</v>
      </c>
      <c r="AB320" s="1718"/>
      <c r="AC320" s="1718"/>
      <c r="AD320" s="1719"/>
      <c r="AE320" s="715"/>
      <c r="AF320" s="715"/>
      <c r="AG320" s="715"/>
      <c r="AH320" s="100"/>
      <c r="AI320" s="962" t="b">
        <f>AA320="○"</f>
        <v>0</v>
      </c>
    </row>
    <row r="321" spans="1:35" ht="15" customHeight="1">
      <c r="A321" s="1314"/>
      <c r="B321" s="1315"/>
      <c r="C321" s="1315"/>
      <c r="D321" s="1315"/>
      <c r="E321" s="1315"/>
      <c r="F321" s="1475" t="s">
        <v>446</v>
      </c>
      <c r="G321" s="1414"/>
      <c r="H321" s="1504" t="s">
        <v>505</v>
      </c>
      <c r="I321" s="1504"/>
      <c r="J321" s="1504"/>
      <c r="K321" s="1504"/>
      <c r="L321" s="1504"/>
      <c r="M321" s="1504"/>
      <c r="N321" s="1504"/>
      <c r="O321" s="1504"/>
      <c r="P321" s="1504"/>
      <c r="Q321" s="1504"/>
      <c r="R321" s="1504"/>
      <c r="S321" s="1504"/>
      <c r="T321" s="1504"/>
      <c r="U321" s="1504"/>
      <c r="V321" s="1504"/>
      <c r="W321" s="1504"/>
      <c r="X321" s="1504"/>
      <c r="Y321" s="1504"/>
      <c r="Z321" s="1505"/>
      <c r="AA321" s="1285"/>
      <c r="AB321" s="1286"/>
      <c r="AC321" s="1286"/>
      <c r="AD321" s="1287"/>
      <c r="AE321" s="715"/>
      <c r="AF321" s="715"/>
      <c r="AG321" s="715"/>
      <c r="AH321" s="100"/>
      <c r="AI321" s="962" t="b">
        <f>AA321="○"</f>
        <v>0</v>
      </c>
    </row>
    <row r="322" spans="1:35" ht="15" customHeight="1">
      <c r="A322" s="1273" t="s">
        <v>67</v>
      </c>
      <c r="B322" s="1274"/>
      <c r="C322" s="1274"/>
      <c r="D322" s="1274"/>
      <c r="E322" s="1275"/>
      <c r="F322" s="1455" t="s">
        <v>447</v>
      </c>
      <c r="G322" s="1432"/>
      <c r="H322" s="1432"/>
      <c r="I322" s="1432"/>
      <c r="J322" s="1432"/>
      <c r="K322" s="1432"/>
      <c r="L322" s="1432"/>
      <c r="M322" s="1432"/>
      <c r="N322" s="1432"/>
      <c r="O322" s="1432"/>
      <c r="P322" s="1432"/>
      <c r="Q322" s="1432"/>
      <c r="R322" s="1432"/>
      <c r="S322" s="1432"/>
      <c r="T322" s="1432"/>
      <c r="U322" s="1432"/>
      <c r="V322" s="1432"/>
      <c r="W322" s="1432"/>
      <c r="X322" s="1432"/>
      <c r="Y322" s="1432"/>
      <c r="Z322" s="1432"/>
      <c r="AA322" s="1432"/>
      <c r="AB322" s="1432"/>
      <c r="AC322" s="1432"/>
      <c r="AD322" s="1433"/>
      <c r="AE322" s="707"/>
      <c r="AF322" s="707"/>
      <c r="AG322" s="707"/>
      <c r="AH322" s="100"/>
    </row>
    <row r="323" spans="1:35" ht="15" customHeight="1">
      <c r="A323" s="1276"/>
      <c r="B323" s="1277"/>
      <c r="C323" s="1277"/>
      <c r="D323" s="1277"/>
      <c r="E323" s="1278"/>
      <c r="F323" s="1638" t="s">
        <v>1149</v>
      </c>
      <c r="G323" s="1389"/>
      <c r="H323" s="1389"/>
      <c r="I323" s="1389"/>
      <c r="J323" s="1389"/>
      <c r="K323" s="1389"/>
      <c r="L323" s="1389"/>
      <c r="M323" s="1389"/>
      <c r="N323" s="1389"/>
      <c r="O323" s="1389"/>
      <c r="P323" s="1389"/>
      <c r="Q323" s="1389"/>
      <c r="R323" s="1389"/>
      <c r="S323" s="1389"/>
      <c r="T323" s="1389"/>
      <c r="U323" s="1389"/>
      <c r="V323" s="1389"/>
      <c r="W323" s="1389"/>
      <c r="X323" s="1389"/>
      <c r="Y323" s="1389"/>
      <c r="Z323" s="1389"/>
      <c r="AA323" s="1389"/>
      <c r="AB323" s="1389"/>
      <c r="AC323" s="1389"/>
      <c r="AD323" s="1639"/>
      <c r="AE323" s="707"/>
      <c r="AF323" s="707"/>
      <c r="AG323" s="707"/>
      <c r="AH323" s="100"/>
    </row>
    <row r="324" spans="1:35" ht="110.1" customHeight="1">
      <c r="A324" s="1276"/>
      <c r="B324" s="1277"/>
      <c r="C324" s="1277"/>
      <c r="D324" s="1277"/>
      <c r="E324" s="1278"/>
      <c r="F324" s="1638" t="s">
        <v>1163</v>
      </c>
      <c r="G324" s="1389"/>
      <c r="H324" s="1389"/>
      <c r="I324" s="1389"/>
      <c r="J324" s="1389"/>
      <c r="K324" s="1389"/>
      <c r="L324" s="1389"/>
      <c r="M324" s="1389"/>
      <c r="N324" s="1389"/>
      <c r="O324" s="1389"/>
      <c r="P324" s="1389"/>
      <c r="Q324" s="1389"/>
      <c r="R324" s="1389"/>
      <c r="S324" s="1389"/>
      <c r="T324" s="1389"/>
      <c r="U324" s="1389"/>
      <c r="V324" s="1389"/>
      <c r="W324" s="1389"/>
      <c r="X324" s="1389"/>
      <c r="Y324" s="1389"/>
      <c r="Z324" s="1389"/>
      <c r="AA324" s="1389"/>
      <c r="AB324" s="1389"/>
      <c r="AC324" s="1389"/>
      <c r="AD324" s="1639"/>
      <c r="AE324" s="707"/>
      <c r="AF324" s="707"/>
      <c r="AG324" s="707"/>
      <c r="AH324" s="100"/>
    </row>
    <row r="325" spans="1:35" ht="15" customHeight="1">
      <c r="A325" s="1340"/>
      <c r="B325" s="1341"/>
      <c r="C325" s="1341"/>
      <c r="D325" s="1341"/>
      <c r="E325" s="1342"/>
      <c r="F325" s="1640" t="s">
        <v>1150</v>
      </c>
      <c r="G325" s="1541"/>
      <c r="H325" s="1541"/>
      <c r="I325" s="1541"/>
      <c r="J325" s="1541"/>
      <c r="K325" s="1541"/>
      <c r="L325" s="1541"/>
      <c r="M325" s="1541"/>
      <c r="N325" s="1541"/>
      <c r="O325" s="1541"/>
      <c r="P325" s="1541"/>
      <c r="Q325" s="1541"/>
      <c r="R325" s="1541"/>
      <c r="S325" s="1541"/>
      <c r="T325" s="1541"/>
      <c r="U325" s="1541"/>
      <c r="V325" s="1541"/>
      <c r="W325" s="1541"/>
      <c r="X325" s="1541"/>
      <c r="Y325" s="1541"/>
      <c r="Z325" s="1541"/>
      <c r="AA325" s="1541"/>
      <c r="AB325" s="1541"/>
      <c r="AC325" s="1541"/>
      <c r="AD325" s="1641"/>
      <c r="AE325" s="707"/>
      <c r="AF325" s="707"/>
      <c r="AG325" s="707"/>
      <c r="AH325" s="100"/>
    </row>
    <row r="326" spans="1:35" ht="15" customHeight="1">
      <c r="A326" s="707" t="s">
        <v>501</v>
      </c>
      <c r="B326" s="707"/>
      <c r="C326" s="707"/>
      <c r="D326" s="707"/>
      <c r="E326" s="707"/>
      <c r="F326" s="707"/>
      <c r="G326" s="707"/>
      <c r="H326" s="707"/>
      <c r="I326" s="707"/>
      <c r="J326" s="707"/>
      <c r="K326" s="707"/>
      <c r="L326" s="707"/>
      <c r="M326" s="707"/>
      <c r="N326" s="707"/>
      <c r="O326" s="707"/>
      <c r="P326" s="707"/>
      <c r="Q326" s="707"/>
      <c r="R326" s="707"/>
      <c r="S326" s="707"/>
      <c r="T326" s="707"/>
      <c r="U326" s="707"/>
      <c r="V326" s="707"/>
      <c r="W326" s="707"/>
      <c r="X326" s="707"/>
      <c r="Y326" s="707"/>
      <c r="Z326" s="707"/>
      <c r="AA326" s="707"/>
      <c r="AB326" s="707"/>
      <c r="AC326" s="707"/>
      <c r="AD326" s="707"/>
      <c r="AE326" s="707"/>
      <c r="AF326" s="707"/>
      <c r="AG326" s="707"/>
      <c r="AH326" s="100"/>
    </row>
    <row r="327" spans="1:35" ht="15" customHeight="1">
      <c r="A327" s="1310" t="s">
        <v>353</v>
      </c>
      <c r="B327" s="1310"/>
      <c r="C327" s="1310"/>
      <c r="D327" s="1310"/>
      <c r="E327" s="1310"/>
      <c r="F327" s="1310" t="s">
        <v>302</v>
      </c>
      <c r="G327" s="1310"/>
      <c r="H327" s="1310"/>
      <c r="I327" s="1310"/>
      <c r="J327" s="1310"/>
      <c r="K327" s="1310"/>
      <c r="L327" s="1310"/>
      <c r="M327" s="1310"/>
      <c r="N327" s="1310"/>
      <c r="O327" s="1310"/>
      <c r="P327" s="1310"/>
      <c r="Q327" s="1310"/>
      <c r="R327" s="1310"/>
      <c r="S327" s="1310"/>
      <c r="T327" s="1310"/>
      <c r="U327" s="1310"/>
      <c r="V327" s="1310"/>
      <c r="W327" s="1310"/>
      <c r="X327" s="1310"/>
      <c r="Y327" s="1310"/>
      <c r="Z327" s="1310"/>
      <c r="AA327" s="1310"/>
      <c r="AB327" s="1310"/>
      <c r="AC327" s="1310"/>
      <c r="AD327" s="1310"/>
      <c r="AE327" s="707"/>
      <c r="AF327" s="707"/>
      <c r="AG327" s="707"/>
      <c r="AH327" s="100"/>
    </row>
    <row r="328" spans="1:35" ht="24.95" customHeight="1">
      <c r="A328" s="1643" t="s">
        <v>414</v>
      </c>
      <c r="B328" s="1643"/>
      <c r="C328" s="1643"/>
      <c r="D328" s="1643"/>
      <c r="E328" s="1643"/>
      <c r="F328" s="1644" t="s">
        <v>1151</v>
      </c>
      <c r="G328" s="1644"/>
      <c r="H328" s="1644"/>
      <c r="I328" s="1644"/>
      <c r="J328" s="1644"/>
      <c r="K328" s="1644"/>
      <c r="L328" s="1644"/>
      <c r="M328" s="1644"/>
      <c r="N328" s="1644"/>
      <c r="O328" s="1644"/>
      <c r="P328" s="1644"/>
      <c r="Q328" s="1644"/>
      <c r="R328" s="1644"/>
      <c r="S328" s="1644"/>
      <c r="T328" s="1644"/>
      <c r="U328" s="1644"/>
      <c r="V328" s="1644"/>
      <c r="W328" s="1644"/>
      <c r="X328" s="1644"/>
      <c r="Y328" s="1644"/>
      <c r="Z328" s="1644"/>
      <c r="AA328" s="1644"/>
      <c r="AB328" s="1644"/>
      <c r="AC328" s="1644"/>
      <c r="AD328" s="1644"/>
      <c r="AE328" s="707"/>
      <c r="AF328" s="707"/>
      <c r="AG328" s="707"/>
      <c r="AH328" s="100"/>
    </row>
    <row r="329" spans="1:35" ht="24.95" customHeight="1">
      <c r="A329" s="1739" t="s">
        <v>174</v>
      </c>
      <c r="B329" s="1739"/>
      <c r="C329" s="1739"/>
      <c r="D329" s="1739"/>
      <c r="E329" s="1739"/>
      <c r="F329" s="1740" t="s">
        <v>502</v>
      </c>
      <c r="G329" s="1740"/>
      <c r="H329" s="1740"/>
      <c r="I329" s="1740"/>
      <c r="J329" s="1740"/>
      <c r="K329" s="1740"/>
      <c r="L329" s="1740"/>
      <c r="M329" s="1740"/>
      <c r="N329" s="1740"/>
      <c r="O329" s="1740"/>
      <c r="P329" s="1740"/>
      <c r="Q329" s="1740"/>
      <c r="R329" s="1740"/>
      <c r="S329" s="1740"/>
      <c r="T329" s="1740"/>
      <c r="U329" s="1740"/>
      <c r="V329" s="1740"/>
      <c r="W329" s="1740"/>
      <c r="X329" s="1740"/>
      <c r="Y329" s="1740"/>
      <c r="Z329" s="1740"/>
      <c r="AA329" s="1740"/>
      <c r="AB329" s="1740"/>
      <c r="AC329" s="1740"/>
      <c r="AD329" s="1740"/>
      <c r="AE329" s="707"/>
      <c r="AF329" s="707"/>
      <c r="AG329" s="707"/>
      <c r="AH329" s="100"/>
    </row>
    <row r="330" spans="1:35" ht="15" customHeight="1">
      <c r="A330" s="1650" t="s">
        <v>503</v>
      </c>
      <c r="B330" s="1650"/>
      <c r="C330" s="1650"/>
      <c r="D330" s="1650"/>
      <c r="E330" s="1650"/>
      <c r="F330" s="1732" t="s">
        <v>1152</v>
      </c>
      <c r="G330" s="1732"/>
      <c r="H330" s="1732"/>
      <c r="I330" s="1732"/>
      <c r="J330" s="1732"/>
      <c r="K330" s="1732"/>
      <c r="L330" s="1732"/>
      <c r="M330" s="1732"/>
      <c r="N330" s="1732"/>
      <c r="O330" s="1732"/>
      <c r="P330" s="1732"/>
      <c r="Q330" s="1732"/>
      <c r="R330" s="1732"/>
      <c r="S330" s="1732"/>
      <c r="T330" s="1732"/>
      <c r="U330" s="1732"/>
      <c r="V330" s="1732"/>
      <c r="W330" s="1732"/>
      <c r="X330" s="1732"/>
      <c r="Y330" s="1732"/>
      <c r="Z330" s="1732"/>
      <c r="AA330" s="1732"/>
      <c r="AB330" s="1732"/>
      <c r="AC330" s="1732"/>
      <c r="AD330" s="1732"/>
      <c r="AE330" s="707"/>
      <c r="AF330" s="707"/>
      <c r="AG330" s="707"/>
      <c r="AH330" s="100"/>
    </row>
  </sheetData>
  <mergeCells count="921">
    <mergeCell ref="AF249:AG250"/>
    <mergeCell ref="AI249:AI250"/>
    <mergeCell ref="AJ249:AJ250"/>
    <mergeCell ref="F255:AG255"/>
    <mergeCell ref="F246:G248"/>
    <mergeCell ref="H246:AE246"/>
    <mergeCell ref="AF246:AG248"/>
    <mergeCell ref="H247:AE247"/>
    <mergeCell ref="AB248:AC248"/>
    <mergeCell ref="AD248:AE248"/>
    <mergeCell ref="F252:AG252"/>
    <mergeCell ref="F253:AG253"/>
    <mergeCell ref="F249:G250"/>
    <mergeCell ref="H249:AE250"/>
    <mergeCell ref="I242:AA242"/>
    <mergeCell ref="Q232:R232"/>
    <mergeCell ref="F239:G245"/>
    <mergeCell ref="P243:Z243"/>
    <mergeCell ref="I240:AA240"/>
    <mergeCell ref="AB240:AE241"/>
    <mergeCell ref="I245:O245"/>
    <mergeCell ref="AB244:AE245"/>
    <mergeCell ref="I244:V244"/>
    <mergeCell ref="W244:AA244"/>
    <mergeCell ref="AB236:AC236"/>
    <mergeCell ref="H236:AA236"/>
    <mergeCell ref="AD236:AE236"/>
    <mergeCell ref="AD238:AE238"/>
    <mergeCell ref="W233:X233"/>
    <mergeCell ref="N232:P232"/>
    <mergeCell ref="Q233:R233"/>
    <mergeCell ref="P245:AA245"/>
    <mergeCell ref="AC148:AD148"/>
    <mergeCell ref="AA148:AB148"/>
    <mergeCell ref="G136:Z136"/>
    <mergeCell ref="AA137:AD137"/>
    <mergeCell ref="AA147:AB147"/>
    <mergeCell ref="AC147:AD147"/>
    <mergeCell ref="AA142:AD142"/>
    <mergeCell ref="AA140:AD140"/>
    <mergeCell ref="AA144:AD144"/>
    <mergeCell ref="I143:Z143"/>
    <mergeCell ref="H140:I140"/>
    <mergeCell ref="M148:N148"/>
    <mergeCell ref="O148:P148"/>
    <mergeCell ref="H137:Z137"/>
    <mergeCell ref="AA138:AD138"/>
    <mergeCell ref="AA141:AD141"/>
    <mergeCell ref="S147:T147"/>
    <mergeCell ref="AL17:AM17"/>
    <mergeCell ref="A330:E330"/>
    <mergeCell ref="F330:AD330"/>
    <mergeCell ref="J302:N302"/>
    <mergeCell ref="J293:N293"/>
    <mergeCell ref="J280:N280"/>
    <mergeCell ref="J267:N267"/>
    <mergeCell ref="A322:E325"/>
    <mergeCell ref="F322:AD322"/>
    <mergeCell ref="F323:AD323"/>
    <mergeCell ref="F324:AD324"/>
    <mergeCell ref="F325:AD325"/>
    <mergeCell ref="A327:E327"/>
    <mergeCell ref="F327:AD327"/>
    <mergeCell ref="A328:E328"/>
    <mergeCell ref="F328:AD328"/>
    <mergeCell ref="A127:E128"/>
    <mergeCell ref="A134:E153"/>
    <mergeCell ref="Z22:AF22"/>
    <mergeCell ref="A94:I94"/>
    <mergeCell ref="J94:N94"/>
    <mergeCell ref="F137:G143"/>
    <mergeCell ref="A329:E329"/>
    <mergeCell ref="F329:AD329"/>
    <mergeCell ref="AN120:AS120"/>
    <mergeCell ref="A179:AG179"/>
    <mergeCell ref="O183:Q183"/>
    <mergeCell ref="F318:H318"/>
    <mergeCell ref="I318:Z318"/>
    <mergeCell ref="AA318:AD318"/>
    <mergeCell ref="AA314:AD314"/>
    <mergeCell ref="F303:K303"/>
    <mergeCell ref="F304:Z304"/>
    <mergeCell ref="AA304:AD304"/>
    <mergeCell ref="G135:Z135"/>
    <mergeCell ref="I139:Z139"/>
    <mergeCell ref="J197:K197"/>
    <mergeCell ref="H195:I195"/>
    <mergeCell ref="Z196:AA196"/>
    <mergeCell ref="Z197:AA197"/>
    <mergeCell ref="A195:E195"/>
    <mergeCell ref="I138:Z138"/>
    <mergeCell ref="H208:AC208"/>
    <mergeCell ref="J187:N187"/>
    <mergeCell ref="O260:Q260"/>
    <mergeCell ref="A281:E281"/>
    <mergeCell ref="F281:K281"/>
    <mergeCell ref="F282:Z282"/>
    <mergeCell ref="A313:E313"/>
    <mergeCell ref="F309:AD309"/>
    <mergeCell ref="J312:N312"/>
    <mergeCell ref="O312:Q312"/>
    <mergeCell ref="AA307:AD307"/>
    <mergeCell ref="F310:AD310"/>
    <mergeCell ref="F277:AD277"/>
    <mergeCell ref="A299:E299"/>
    <mergeCell ref="A276:E278"/>
    <mergeCell ref="F276:AD276"/>
    <mergeCell ref="A295:E298"/>
    <mergeCell ref="F290:AD290"/>
    <mergeCell ref="G308:Z308"/>
    <mergeCell ref="F278:AD278"/>
    <mergeCell ref="A294:E294"/>
    <mergeCell ref="AA286:AD287"/>
    <mergeCell ref="AA285:AD285"/>
    <mergeCell ref="H288:Z288"/>
    <mergeCell ref="G305:Z305"/>
    <mergeCell ref="AA305:AD306"/>
    <mergeCell ref="A303:E303"/>
    <mergeCell ref="A302:I302"/>
    <mergeCell ref="O293:Q293"/>
    <mergeCell ref="A293:I293"/>
    <mergeCell ref="G316:Z316"/>
    <mergeCell ref="AA316:AD316"/>
    <mergeCell ref="AA315:AD315"/>
    <mergeCell ref="A304:E308"/>
    <mergeCell ref="AA308:AD308"/>
    <mergeCell ref="F313:K313"/>
    <mergeCell ref="A314:E321"/>
    <mergeCell ref="F314:Z314"/>
    <mergeCell ref="A309:E310"/>
    <mergeCell ref="I319:Z319"/>
    <mergeCell ref="H317:Z317"/>
    <mergeCell ref="AA317:AD317"/>
    <mergeCell ref="AA321:AD321"/>
    <mergeCell ref="G315:Z315"/>
    <mergeCell ref="A312:I312"/>
    <mergeCell ref="F321:G321"/>
    <mergeCell ref="H321:Z321"/>
    <mergeCell ref="F317:G317"/>
    <mergeCell ref="F319:H319"/>
    <mergeCell ref="F320:H320"/>
    <mergeCell ref="I320:Z320"/>
    <mergeCell ref="AA320:AD320"/>
    <mergeCell ref="AA319:AD319"/>
    <mergeCell ref="G307:Z307"/>
    <mergeCell ref="A290:E291"/>
    <mergeCell ref="AA296:AD297"/>
    <mergeCell ref="O302:Q302"/>
    <mergeCell ref="F291:AD291"/>
    <mergeCell ref="A280:I280"/>
    <mergeCell ref="A282:E289"/>
    <mergeCell ref="G285:Z285"/>
    <mergeCell ref="F299:AD299"/>
    <mergeCell ref="AA288:AD289"/>
    <mergeCell ref="F286:G286"/>
    <mergeCell ref="H286:Z286"/>
    <mergeCell ref="H287:Z287"/>
    <mergeCell ref="F288:G288"/>
    <mergeCell ref="M284:Z284"/>
    <mergeCell ref="H289:Z289"/>
    <mergeCell ref="O280:Q280"/>
    <mergeCell ref="AA282:AD282"/>
    <mergeCell ref="Y274:Z274"/>
    <mergeCell ref="U274:X274"/>
    <mergeCell ref="J260:N260"/>
    <mergeCell ref="AF239:AG245"/>
    <mergeCell ref="H240:H241"/>
    <mergeCell ref="H242:H243"/>
    <mergeCell ref="A256:AG256"/>
    <mergeCell ref="A199:E199"/>
    <mergeCell ref="A251:E254"/>
    <mergeCell ref="F254:AG254"/>
    <mergeCell ref="H223:AA223"/>
    <mergeCell ref="H244:H245"/>
    <mergeCell ref="AB238:AC238"/>
    <mergeCell ref="W232:X232"/>
    <mergeCell ref="Z232:AB232"/>
    <mergeCell ref="AC232:AD232"/>
    <mergeCell ref="H238:AA238"/>
    <mergeCell ref="H235:AA235"/>
    <mergeCell ref="T233:V233"/>
    <mergeCell ref="H234:AE234"/>
    <mergeCell ref="H237:AE237"/>
    <mergeCell ref="AB235:AC235"/>
    <mergeCell ref="AD235:AE235"/>
    <mergeCell ref="I243:O243"/>
    <mergeCell ref="BH194:BI194"/>
    <mergeCell ref="L197:M197"/>
    <mergeCell ref="N197:O197"/>
    <mergeCell ref="AL194:AM194"/>
    <mergeCell ref="AN194:AO194"/>
    <mergeCell ref="AN195:AO195"/>
    <mergeCell ref="R197:S197"/>
    <mergeCell ref="L194:M194"/>
    <mergeCell ref="BH196:BI196"/>
    <mergeCell ref="BH195:BI195"/>
    <mergeCell ref="Z194:AA194"/>
    <mergeCell ref="AB194:AC194"/>
    <mergeCell ref="BB194:BC194"/>
    <mergeCell ref="BF196:BG196"/>
    <mergeCell ref="AF194:AG194"/>
    <mergeCell ref="BF194:BG194"/>
    <mergeCell ref="AX194:AY194"/>
    <mergeCell ref="AV194:AW194"/>
    <mergeCell ref="BB195:BC195"/>
    <mergeCell ref="R196:S196"/>
    <mergeCell ref="X194:Y194"/>
    <mergeCell ref="AD195:AE195"/>
    <mergeCell ref="P195:Q195"/>
    <mergeCell ref="L195:M195"/>
    <mergeCell ref="F195:G195"/>
    <mergeCell ref="H239:AE239"/>
    <mergeCell ref="AA150:AD150"/>
    <mergeCell ref="A168:AG168"/>
    <mergeCell ref="A169:E169"/>
    <mergeCell ref="F169:K169"/>
    <mergeCell ref="I149:J149"/>
    <mergeCell ref="I151:J151"/>
    <mergeCell ref="O151:P151"/>
    <mergeCell ref="Q149:R149"/>
    <mergeCell ref="AF195:AG196"/>
    <mergeCell ref="AD196:AE196"/>
    <mergeCell ref="I241:O241"/>
    <mergeCell ref="P241:AA241"/>
    <mergeCell ref="Q152:R152"/>
    <mergeCell ref="S152:T152"/>
    <mergeCell ref="U152:V152"/>
    <mergeCell ref="K148:L148"/>
    <mergeCell ref="W148:X148"/>
    <mergeCell ref="Y148:Z148"/>
    <mergeCell ref="M149:N149"/>
    <mergeCell ref="O149:P149"/>
    <mergeCell ref="S148:T148"/>
    <mergeCell ref="Q148:R148"/>
    <mergeCell ref="U148:V148"/>
    <mergeCell ref="I148:J148"/>
    <mergeCell ref="A132:I132"/>
    <mergeCell ref="A109:E112"/>
    <mergeCell ref="A113:E114"/>
    <mergeCell ref="W147:X147"/>
    <mergeCell ref="J132:N132"/>
    <mergeCell ref="AA134:AD134"/>
    <mergeCell ref="F113:AD113"/>
    <mergeCell ref="A107:I107"/>
    <mergeCell ref="A108:E108"/>
    <mergeCell ref="F108:K108"/>
    <mergeCell ref="A133:E133"/>
    <mergeCell ref="F133:K133"/>
    <mergeCell ref="F114:AD114"/>
    <mergeCell ref="H142:I142"/>
    <mergeCell ref="J142:Z142"/>
    <mergeCell ref="F144:G144"/>
    <mergeCell ref="H144:Z144"/>
    <mergeCell ref="G110:Z110"/>
    <mergeCell ref="J125:N125"/>
    <mergeCell ref="AI16:AJ16"/>
    <mergeCell ref="F32:U32"/>
    <mergeCell ref="F34:U34"/>
    <mergeCell ref="F35:U35"/>
    <mergeCell ref="F21:U21"/>
    <mergeCell ref="F36:U36"/>
    <mergeCell ref="Z26:AF26"/>
    <mergeCell ref="V36:Y36"/>
    <mergeCell ref="Z36:AF36"/>
    <mergeCell ref="V32:Y32"/>
    <mergeCell ref="Z32:AF32"/>
    <mergeCell ref="V34:Y34"/>
    <mergeCell ref="Z34:AF34"/>
    <mergeCell ref="V35:Y35"/>
    <mergeCell ref="Z35:AF35"/>
    <mergeCell ref="Z27:AF27"/>
    <mergeCell ref="V30:Y30"/>
    <mergeCell ref="AI17:AJ17"/>
    <mergeCell ref="F26:U26"/>
    <mergeCell ref="F27:U27"/>
    <mergeCell ref="Z17:AF17"/>
    <mergeCell ref="V18:AF18"/>
    <mergeCell ref="V21:Y21"/>
    <mergeCell ref="F23:U23"/>
    <mergeCell ref="V25:Y25"/>
    <mergeCell ref="F22:U22"/>
    <mergeCell ref="V22:Y22"/>
    <mergeCell ref="F20:U20"/>
    <mergeCell ref="B24:E24"/>
    <mergeCell ref="B25:E25"/>
    <mergeCell ref="F134:Z134"/>
    <mergeCell ref="V26:Y26"/>
    <mergeCell ref="V27:Y27"/>
    <mergeCell ref="B30:E30"/>
    <mergeCell ref="F28:U28"/>
    <mergeCell ref="F24:U24"/>
    <mergeCell ref="F25:U25"/>
    <mergeCell ref="B26:E26"/>
    <mergeCell ref="B37:E37"/>
    <mergeCell ref="B32:E32"/>
    <mergeCell ref="A96:E98"/>
    <mergeCell ref="A95:E95"/>
    <mergeCell ref="F30:U30"/>
    <mergeCell ref="B28:E28"/>
    <mergeCell ref="Z30:AF30"/>
    <mergeCell ref="AA80:AD80"/>
    <mergeCell ref="F81:G81"/>
    <mergeCell ref="F73:K73"/>
    <mergeCell ref="B48:E48"/>
    <mergeCell ref="B49:E49"/>
    <mergeCell ref="AA56:AD56"/>
    <mergeCell ref="F98:Z98"/>
    <mergeCell ref="F95:K95"/>
    <mergeCell ref="A92:E92"/>
    <mergeCell ref="O88:Q88"/>
    <mergeCell ref="F92:AD92"/>
    <mergeCell ref="A90:E91"/>
    <mergeCell ref="A82:E86"/>
    <mergeCell ref="F86:AD86"/>
    <mergeCell ref="F83:AD83"/>
    <mergeCell ref="A88:I88"/>
    <mergeCell ref="F91:Z91"/>
    <mergeCell ref="F74:Z74"/>
    <mergeCell ref="AA76:AD76"/>
    <mergeCell ref="AA77:AD77"/>
    <mergeCell ref="AA78:AD78"/>
    <mergeCell ref="AA79:AD79"/>
    <mergeCell ref="G78:Z78"/>
    <mergeCell ref="G79:Z79"/>
    <mergeCell ref="AA81:AD81"/>
    <mergeCell ref="F80:G80"/>
    <mergeCell ref="F85:AD85"/>
    <mergeCell ref="AC152:AD152"/>
    <mergeCell ref="G152:H152"/>
    <mergeCell ref="I152:J152"/>
    <mergeCell ref="AA152:AB152"/>
    <mergeCell ref="B39:E39"/>
    <mergeCell ref="A99:E99"/>
    <mergeCell ref="F60:G60"/>
    <mergeCell ref="G62:Z62"/>
    <mergeCell ref="A53:AG53"/>
    <mergeCell ref="AA61:AD61"/>
    <mergeCell ref="O55:Q55"/>
    <mergeCell ref="F59:G59"/>
    <mergeCell ref="AA60:AD60"/>
    <mergeCell ref="H64:Z64"/>
    <mergeCell ref="AE62:AG64"/>
    <mergeCell ref="F61:G61"/>
    <mergeCell ref="AE58:AG61"/>
    <mergeCell ref="AA59:AD59"/>
    <mergeCell ref="AE56:AG56"/>
    <mergeCell ref="F99:AD99"/>
    <mergeCell ref="A70:AG70"/>
    <mergeCell ref="G75:Z75"/>
    <mergeCell ref="A72:I72"/>
    <mergeCell ref="G57:Z57"/>
    <mergeCell ref="Q151:R151"/>
    <mergeCell ref="K152:L152"/>
    <mergeCell ref="G151:H151"/>
    <mergeCell ref="U149:V149"/>
    <mergeCell ref="K149:L149"/>
    <mergeCell ref="G149:H149"/>
    <mergeCell ref="F150:F152"/>
    <mergeCell ref="F146:F149"/>
    <mergeCell ref="M152:N152"/>
    <mergeCell ref="O152:P152"/>
    <mergeCell ref="K151:L151"/>
    <mergeCell ref="S149:T149"/>
    <mergeCell ref="M151:N151"/>
    <mergeCell ref="G148:H148"/>
    <mergeCell ref="W152:X152"/>
    <mergeCell ref="A187:I187"/>
    <mergeCell ref="A175:E175"/>
    <mergeCell ref="AD194:AE194"/>
    <mergeCell ref="V195:W195"/>
    <mergeCell ref="R195:S195"/>
    <mergeCell ref="X195:Y195"/>
    <mergeCell ref="Z195:AA195"/>
    <mergeCell ref="G76:Z76"/>
    <mergeCell ref="G153:Z153"/>
    <mergeCell ref="F154:AD154"/>
    <mergeCell ref="S151:T151"/>
    <mergeCell ref="Q147:R147"/>
    <mergeCell ref="G146:Z146"/>
    <mergeCell ref="G147:H147"/>
    <mergeCell ref="J140:Z140"/>
    <mergeCell ref="H141:I141"/>
    <mergeCell ref="Y147:Z147"/>
    <mergeCell ref="M147:N147"/>
    <mergeCell ref="O147:P147"/>
    <mergeCell ref="U147:V147"/>
    <mergeCell ref="J141:Z141"/>
    <mergeCell ref="A162:E162"/>
    <mergeCell ref="A160:E160"/>
    <mergeCell ref="F160:AD160"/>
    <mergeCell ref="A163:AG163"/>
    <mergeCell ref="F155:AD155"/>
    <mergeCell ref="F158:AD158"/>
    <mergeCell ref="J167:N167"/>
    <mergeCell ref="A159:AG159"/>
    <mergeCell ref="F156:AD156"/>
    <mergeCell ref="F157:AD157"/>
    <mergeCell ref="A164:AG165"/>
    <mergeCell ref="A161:E161"/>
    <mergeCell ref="F161:AD161"/>
    <mergeCell ref="A167:I167"/>
    <mergeCell ref="F162:AD162"/>
    <mergeCell ref="A154:E158"/>
    <mergeCell ref="F218:AC218"/>
    <mergeCell ref="G219:AC219"/>
    <mergeCell ref="K226:L226"/>
    <mergeCell ref="N226:P226"/>
    <mergeCell ref="N225:P225"/>
    <mergeCell ref="T225:V225"/>
    <mergeCell ref="G221:AC221"/>
    <mergeCell ref="Q226:R226"/>
    <mergeCell ref="AC226:AD226"/>
    <mergeCell ref="H226:J226"/>
    <mergeCell ref="AD220:AG220"/>
    <mergeCell ref="F222:G227"/>
    <mergeCell ref="AD218:AG218"/>
    <mergeCell ref="Z225:AB225"/>
    <mergeCell ref="H222:AE222"/>
    <mergeCell ref="AB223:AE223"/>
    <mergeCell ref="AD219:AG219"/>
    <mergeCell ref="T227:V227"/>
    <mergeCell ref="W225:X225"/>
    <mergeCell ref="N227:P227"/>
    <mergeCell ref="AD221:AG221"/>
    <mergeCell ref="G220:AC220"/>
    <mergeCell ref="BJ195:BK195"/>
    <mergeCell ref="AD198:AE198"/>
    <mergeCell ref="AT199:AU199"/>
    <mergeCell ref="AI198:AI199"/>
    <mergeCell ref="BJ198:BK198"/>
    <mergeCell ref="BF198:BG198"/>
    <mergeCell ref="AB197:AC197"/>
    <mergeCell ref="AT195:AU195"/>
    <mergeCell ref="BB198:BC198"/>
    <mergeCell ref="AZ196:BA196"/>
    <mergeCell ref="AF197:AG197"/>
    <mergeCell ref="AZ195:BA195"/>
    <mergeCell ref="AZ198:BA198"/>
    <mergeCell ref="AD197:AE197"/>
    <mergeCell ref="BJ196:BK196"/>
    <mergeCell ref="AB198:AC198"/>
    <mergeCell ref="BF195:BG195"/>
    <mergeCell ref="AP198:AQ198"/>
    <mergeCell ref="AL198:AM198"/>
    <mergeCell ref="AB199:AC199"/>
    <mergeCell ref="AD199:AE199"/>
    <mergeCell ref="AT196:AU196"/>
    <mergeCell ref="AR196:AS196"/>
    <mergeCell ref="AL196:AM196"/>
    <mergeCell ref="F198:G198"/>
    <mergeCell ref="F214:Z214"/>
    <mergeCell ref="Z199:AA199"/>
    <mergeCell ref="F207:F208"/>
    <mergeCell ref="AA215:AD215"/>
    <mergeCell ref="H198:I198"/>
    <mergeCell ref="A212:I212"/>
    <mergeCell ref="G203:R203"/>
    <mergeCell ref="A218:E248"/>
    <mergeCell ref="L199:M199"/>
    <mergeCell ref="AB242:AE243"/>
    <mergeCell ref="J212:N212"/>
    <mergeCell ref="S204:AC204"/>
    <mergeCell ref="L198:M198"/>
    <mergeCell ref="P198:Q198"/>
    <mergeCell ref="N198:O198"/>
    <mergeCell ref="J198:K198"/>
    <mergeCell ref="G204:R204"/>
    <mergeCell ref="V198:W198"/>
    <mergeCell ref="X198:Y198"/>
    <mergeCell ref="X203:Y203"/>
    <mergeCell ref="F199:G199"/>
    <mergeCell ref="R199:S199"/>
    <mergeCell ref="A213:E213"/>
    <mergeCell ref="AL199:AM199"/>
    <mergeCell ref="T198:U198"/>
    <mergeCell ref="S205:AC205"/>
    <mergeCell ref="V199:W199"/>
    <mergeCell ref="X199:Y199"/>
    <mergeCell ref="AA203:AB203"/>
    <mergeCell ref="N199:O199"/>
    <mergeCell ref="P199:Q199"/>
    <mergeCell ref="Z198:AA198"/>
    <mergeCell ref="R198:S198"/>
    <mergeCell ref="S203:V203"/>
    <mergeCell ref="A209:E210"/>
    <mergeCell ref="F209:AG209"/>
    <mergeCell ref="F210:AG210"/>
    <mergeCell ref="G207:AC207"/>
    <mergeCell ref="F215:Z215"/>
    <mergeCell ref="F216:Z216"/>
    <mergeCell ref="AA214:AD214"/>
    <mergeCell ref="G205:R205"/>
    <mergeCell ref="F201:AC201"/>
    <mergeCell ref="AD201:AG201"/>
    <mergeCell ref="A198:E198"/>
    <mergeCell ref="V196:W196"/>
    <mergeCell ref="AB195:AC195"/>
    <mergeCell ref="J195:K195"/>
    <mergeCell ref="F217:AD217"/>
    <mergeCell ref="T197:U197"/>
    <mergeCell ref="AF198:AG199"/>
    <mergeCell ref="P196:Q196"/>
    <mergeCell ref="X196:Y196"/>
    <mergeCell ref="J196:K196"/>
    <mergeCell ref="T199:U199"/>
    <mergeCell ref="AD207:AG208"/>
    <mergeCell ref="F213:K213"/>
    <mergeCell ref="O212:Q212"/>
    <mergeCell ref="G206:R206"/>
    <mergeCell ref="S206:AC206"/>
    <mergeCell ref="AD202:AG206"/>
    <mergeCell ref="G202:AC202"/>
    <mergeCell ref="AA216:AD216"/>
    <mergeCell ref="P197:Q197"/>
    <mergeCell ref="A200:AG200"/>
    <mergeCell ref="A196:E196"/>
    <mergeCell ref="A214:E217"/>
    <mergeCell ref="A201:E208"/>
    <mergeCell ref="BB199:BC199"/>
    <mergeCell ref="BD199:BE199"/>
    <mergeCell ref="AP199:AQ199"/>
    <mergeCell ref="AR199:AS199"/>
    <mergeCell ref="AN198:AO198"/>
    <mergeCell ref="BH198:BI198"/>
    <mergeCell ref="BD198:BE198"/>
    <mergeCell ref="AV198:AW198"/>
    <mergeCell ref="AX198:AY198"/>
    <mergeCell ref="AR198:AS198"/>
    <mergeCell ref="AT198:AU198"/>
    <mergeCell ref="AV199:AW199"/>
    <mergeCell ref="AN199:AO199"/>
    <mergeCell ref="F185:AD185"/>
    <mergeCell ref="A180:AG181"/>
    <mergeCell ref="A176:AG176"/>
    <mergeCell ref="A185:E185"/>
    <mergeCell ref="G173:U173"/>
    <mergeCell ref="G172:Z172"/>
    <mergeCell ref="A170:E174"/>
    <mergeCell ref="F170:Z170"/>
    <mergeCell ref="AA172:AD172"/>
    <mergeCell ref="AA173:AD174"/>
    <mergeCell ref="AA171:AD171"/>
    <mergeCell ref="G171:Z171"/>
    <mergeCell ref="A184:E184"/>
    <mergeCell ref="F184:K184"/>
    <mergeCell ref="A183:I183"/>
    <mergeCell ref="A197:E197"/>
    <mergeCell ref="X197:Y197"/>
    <mergeCell ref="BB196:BC196"/>
    <mergeCell ref="BD196:BE196"/>
    <mergeCell ref="A194:E194"/>
    <mergeCell ref="F197:G197"/>
    <mergeCell ref="N195:O195"/>
    <mergeCell ref="N196:O196"/>
    <mergeCell ref="F196:G196"/>
    <mergeCell ref="H196:I196"/>
    <mergeCell ref="T196:U196"/>
    <mergeCell ref="F194:G194"/>
    <mergeCell ref="H194:I194"/>
    <mergeCell ref="H197:I197"/>
    <mergeCell ref="AV195:AW195"/>
    <mergeCell ref="V197:W197"/>
    <mergeCell ref="N194:O194"/>
    <mergeCell ref="AT194:AU194"/>
    <mergeCell ref="V194:W194"/>
    <mergeCell ref="T194:U194"/>
    <mergeCell ref="J194:K194"/>
    <mergeCell ref="R194:S194"/>
    <mergeCell ref="T195:U195"/>
    <mergeCell ref="AP195:AQ195"/>
    <mergeCell ref="J183:N183"/>
    <mergeCell ref="A193:E193"/>
    <mergeCell ref="A188:AG188"/>
    <mergeCell ref="AD189:AG189"/>
    <mergeCell ref="AD190:AG190"/>
    <mergeCell ref="G190:AC190"/>
    <mergeCell ref="A192:AG192"/>
    <mergeCell ref="AJ58:AJ61"/>
    <mergeCell ref="AJ62:AJ64"/>
    <mergeCell ref="AA127:AD127"/>
    <mergeCell ref="A69:E69"/>
    <mergeCell ref="F69:K69"/>
    <mergeCell ref="AD191:AG191"/>
    <mergeCell ref="G191:AC191"/>
    <mergeCell ref="F193:I193"/>
    <mergeCell ref="F189:AC189"/>
    <mergeCell ref="O187:Q187"/>
    <mergeCell ref="A189:E191"/>
    <mergeCell ref="V173:Z173"/>
    <mergeCell ref="G174:U174"/>
    <mergeCell ref="V174:Z174"/>
    <mergeCell ref="F172:F174"/>
    <mergeCell ref="A178:AG178"/>
    <mergeCell ref="F175:AD175"/>
    <mergeCell ref="BD195:BE195"/>
    <mergeCell ref="BD194:BE194"/>
    <mergeCell ref="AZ194:BA194"/>
    <mergeCell ref="AP194:AQ194"/>
    <mergeCell ref="AI195:AI196"/>
    <mergeCell ref="AV196:AW196"/>
    <mergeCell ref="J193:K193"/>
    <mergeCell ref="L193:M193"/>
    <mergeCell ref="N193:O193"/>
    <mergeCell ref="P194:Q194"/>
    <mergeCell ref="AB196:AC196"/>
    <mergeCell ref="AX195:AY195"/>
    <mergeCell ref="AX196:AY196"/>
    <mergeCell ref="L196:M196"/>
    <mergeCell ref="AR194:AS194"/>
    <mergeCell ref="AN196:AO196"/>
    <mergeCell ref="AP196:AQ196"/>
    <mergeCell ref="AR195:AS195"/>
    <mergeCell ref="AL195:AM195"/>
    <mergeCell ref="B27:E27"/>
    <mergeCell ref="V39:Y39"/>
    <mergeCell ref="F37:U37"/>
    <mergeCell ref="F38:U38"/>
    <mergeCell ref="B40:E40"/>
    <mergeCell ref="B41:E41"/>
    <mergeCell ref="F40:U40"/>
    <mergeCell ref="V40:Y40"/>
    <mergeCell ref="F41:U41"/>
    <mergeCell ref="F39:U39"/>
    <mergeCell ref="B38:E38"/>
    <mergeCell ref="B34:E34"/>
    <mergeCell ref="B35:E35"/>
    <mergeCell ref="B36:E36"/>
    <mergeCell ref="Z37:AF37"/>
    <mergeCell ref="Z38:AF38"/>
    <mergeCell ref="V41:Y41"/>
    <mergeCell ref="V37:Y37"/>
    <mergeCell ref="Z40:AF40"/>
    <mergeCell ref="V38:Y38"/>
    <mergeCell ref="Z41:AF41"/>
    <mergeCell ref="B43:E43"/>
    <mergeCell ref="O94:Q94"/>
    <mergeCell ref="B46:E46"/>
    <mergeCell ref="F49:U49"/>
    <mergeCell ref="A52:AG52"/>
    <mergeCell ref="A50:AF51"/>
    <mergeCell ref="B44:E44"/>
    <mergeCell ref="B45:E45"/>
    <mergeCell ref="V43:AF47"/>
    <mergeCell ref="V48:AF49"/>
    <mergeCell ref="F44:U44"/>
    <mergeCell ref="F45:U45"/>
    <mergeCell ref="F43:U43"/>
    <mergeCell ref="J55:N55"/>
    <mergeCell ref="G58:Z58"/>
    <mergeCell ref="H59:Z59"/>
    <mergeCell ref="H60:Z60"/>
    <mergeCell ref="Z39:AF39"/>
    <mergeCell ref="B47:E47"/>
    <mergeCell ref="F47:U47"/>
    <mergeCell ref="F48:U48"/>
    <mergeCell ref="A65:E65"/>
    <mergeCell ref="F65:AG65"/>
    <mergeCell ref="A123:E123"/>
    <mergeCell ref="A122:E122"/>
    <mergeCell ref="G120:Z120"/>
    <mergeCell ref="O107:Q107"/>
    <mergeCell ref="AA96:AD96"/>
    <mergeCell ref="AA97:AD97"/>
    <mergeCell ref="AA98:AD98"/>
    <mergeCell ref="F82:AD82"/>
    <mergeCell ref="F90:Z90"/>
    <mergeCell ref="AA103:AD103"/>
    <mergeCell ref="F56:Z56"/>
    <mergeCell ref="A54:AG54"/>
    <mergeCell ref="AE57:AG57"/>
    <mergeCell ref="A101:I101"/>
    <mergeCell ref="O68:Q68"/>
    <mergeCell ref="G77:Z77"/>
    <mergeCell ref="O72:Q72"/>
    <mergeCell ref="J72:N72"/>
    <mergeCell ref="A119:E121"/>
    <mergeCell ref="F119:Z119"/>
    <mergeCell ref="O101:Q101"/>
    <mergeCell ref="J101:N101"/>
    <mergeCell ref="J107:N107"/>
    <mergeCell ref="F104:Z104"/>
    <mergeCell ref="M111:Z111"/>
    <mergeCell ref="G112:Z112"/>
    <mergeCell ref="AA104:AD104"/>
    <mergeCell ref="F105:AD105"/>
    <mergeCell ref="F109:Z109"/>
    <mergeCell ref="AA109:AD109"/>
    <mergeCell ref="A103:E104"/>
    <mergeCell ref="A118:E118"/>
    <mergeCell ref="F118:K118"/>
    <mergeCell ref="F63:G63"/>
    <mergeCell ref="A55:I55"/>
    <mergeCell ref="J117:N117"/>
    <mergeCell ref="AI79:AI81"/>
    <mergeCell ref="A89:E89"/>
    <mergeCell ref="F89:K89"/>
    <mergeCell ref="H80:Z80"/>
    <mergeCell ref="H81:Z81"/>
    <mergeCell ref="AA90:AD90"/>
    <mergeCell ref="AA91:AD91"/>
    <mergeCell ref="AA62:AD62"/>
    <mergeCell ref="H61:Z61"/>
    <mergeCell ref="AA75:AD75"/>
    <mergeCell ref="AA57:AD57"/>
    <mergeCell ref="J88:N88"/>
    <mergeCell ref="F84:AD84"/>
    <mergeCell ref="F96:Z96"/>
    <mergeCell ref="F97:Z97"/>
    <mergeCell ref="AT1:AU1"/>
    <mergeCell ref="O117:Q117"/>
    <mergeCell ref="O125:Q125"/>
    <mergeCell ref="O132:Q132"/>
    <mergeCell ref="V28:Y28"/>
    <mergeCell ref="Z28:AF28"/>
    <mergeCell ref="Z24:AF24"/>
    <mergeCell ref="V20:Y20"/>
    <mergeCell ref="V16:Y16"/>
    <mergeCell ref="Z16:AF16"/>
    <mergeCell ref="V19:Y19"/>
    <mergeCell ref="Z19:AF19"/>
    <mergeCell ref="AL1:AM1"/>
    <mergeCell ref="F46:U46"/>
    <mergeCell ref="F64:G64"/>
    <mergeCell ref="F17:U17"/>
    <mergeCell ref="A3:AD3"/>
    <mergeCell ref="W4:AD4"/>
    <mergeCell ref="A9:AG9"/>
    <mergeCell ref="A11:C11"/>
    <mergeCell ref="AI110:AI111"/>
    <mergeCell ref="AA119:AD119"/>
    <mergeCell ref="A117:I117"/>
    <mergeCell ref="X1:AG1"/>
    <mergeCell ref="H228:AE228"/>
    <mergeCell ref="N233:P233"/>
    <mergeCell ref="Q227:R227"/>
    <mergeCell ref="H233:J233"/>
    <mergeCell ref="K233:L233"/>
    <mergeCell ref="K232:L232"/>
    <mergeCell ref="AF222:AG227"/>
    <mergeCell ref="H231:J231"/>
    <mergeCell ref="K231:L231"/>
    <mergeCell ref="W227:X227"/>
    <mergeCell ref="Q225:R225"/>
    <mergeCell ref="AC225:AD225"/>
    <mergeCell ref="H227:J227"/>
    <mergeCell ref="H230:AE230"/>
    <mergeCell ref="Z227:AB227"/>
    <mergeCell ref="K227:L227"/>
    <mergeCell ref="AC227:AD227"/>
    <mergeCell ref="H224:AE224"/>
    <mergeCell ref="H225:J225"/>
    <mergeCell ref="K225:L225"/>
    <mergeCell ref="T231:V231"/>
    <mergeCell ref="AF228:AG233"/>
    <mergeCell ref="F274:G274"/>
    <mergeCell ref="H274:T274"/>
    <mergeCell ref="F268:K268"/>
    <mergeCell ref="F269:Z269"/>
    <mergeCell ref="AA269:AD269"/>
    <mergeCell ref="AF234:AG236"/>
    <mergeCell ref="W231:X231"/>
    <mergeCell ref="Z231:AB231"/>
    <mergeCell ref="H232:J232"/>
    <mergeCell ref="Z233:AB233"/>
    <mergeCell ref="AC233:AD233"/>
    <mergeCell ref="A260:I260"/>
    <mergeCell ref="A257:AG257"/>
    <mergeCell ref="A268:E268"/>
    <mergeCell ref="G264:Z264"/>
    <mergeCell ref="A265:E265"/>
    <mergeCell ref="A261:E261"/>
    <mergeCell ref="A262:E264"/>
    <mergeCell ref="F251:AG251"/>
    <mergeCell ref="F228:G233"/>
    <mergeCell ref="F237:G238"/>
    <mergeCell ref="AC231:AD231"/>
    <mergeCell ref="N231:P231"/>
    <mergeCell ref="Q231:R231"/>
    <mergeCell ref="AI305:AI306"/>
    <mergeCell ref="F306:L306"/>
    <mergeCell ref="M306:Z306"/>
    <mergeCell ref="F294:K294"/>
    <mergeCell ref="F261:K261"/>
    <mergeCell ref="F262:Z262"/>
    <mergeCell ref="AA262:AD262"/>
    <mergeCell ref="AA263:AD263"/>
    <mergeCell ref="AA264:AD264"/>
    <mergeCell ref="O267:Q267"/>
    <mergeCell ref="F265:AD265"/>
    <mergeCell ref="F295:Z295"/>
    <mergeCell ref="AA295:AD295"/>
    <mergeCell ref="G296:Z296"/>
    <mergeCell ref="AI296:AI297"/>
    <mergeCell ref="F297:L297"/>
    <mergeCell ref="M297:Z297"/>
    <mergeCell ref="G298:Z298"/>
    <mergeCell ref="AA298:AD298"/>
    <mergeCell ref="AI283:AI284"/>
    <mergeCell ref="F284:L284"/>
    <mergeCell ref="G263:Z263"/>
    <mergeCell ref="F275:G275"/>
    <mergeCell ref="H275:T275"/>
    <mergeCell ref="AI274:AI275"/>
    <mergeCell ref="G283:Z283"/>
    <mergeCell ref="AA283:AD284"/>
    <mergeCell ref="T232:V232"/>
    <mergeCell ref="AF237:AG238"/>
    <mergeCell ref="F234:G236"/>
    <mergeCell ref="H229:AA229"/>
    <mergeCell ref="AB229:AE229"/>
    <mergeCell ref="T226:V226"/>
    <mergeCell ref="W226:X226"/>
    <mergeCell ref="Z226:AB226"/>
    <mergeCell ref="A258:AG258"/>
    <mergeCell ref="G270:Z270"/>
    <mergeCell ref="G271:Z271"/>
    <mergeCell ref="G272:Z272"/>
    <mergeCell ref="AA272:AD272"/>
    <mergeCell ref="U275:X275"/>
    <mergeCell ref="Y275:Z275"/>
    <mergeCell ref="A267:I267"/>
    <mergeCell ref="A269:E275"/>
    <mergeCell ref="AA270:AD270"/>
    <mergeCell ref="AA271:AD271"/>
    <mergeCell ref="G273:Z273"/>
    <mergeCell ref="AA273:AD275"/>
    <mergeCell ref="BJ199:BK199"/>
    <mergeCell ref="AZ199:BA199"/>
    <mergeCell ref="AA145:AD145"/>
    <mergeCell ref="W149:X149"/>
    <mergeCell ref="Y149:Z149"/>
    <mergeCell ref="AA149:AB149"/>
    <mergeCell ref="AC149:AD149"/>
    <mergeCell ref="AA146:AD146"/>
    <mergeCell ref="AA151:AB151"/>
    <mergeCell ref="AC151:AD151"/>
    <mergeCell ref="G145:Z145"/>
    <mergeCell ref="G150:Z150"/>
    <mergeCell ref="U151:V151"/>
    <mergeCell ref="W151:X151"/>
    <mergeCell ref="Y151:Z151"/>
    <mergeCell ref="AA170:AD170"/>
    <mergeCell ref="H199:I199"/>
    <mergeCell ref="J199:K199"/>
    <mergeCell ref="AA153:AD153"/>
    <mergeCell ref="A177:AG177"/>
    <mergeCell ref="Y152:Z152"/>
    <mergeCell ref="BH199:BI199"/>
    <mergeCell ref="AX199:AY199"/>
    <mergeCell ref="BF199:BG199"/>
    <mergeCell ref="I147:J147"/>
    <mergeCell ref="K147:L147"/>
    <mergeCell ref="A102:E102"/>
    <mergeCell ref="F102:K102"/>
    <mergeCell ref="A129:E129"/>
    <mergeCell ref="AA110:AD111"/>
    <mergeCell ref="L122:AD122"/>
    <mergeCell ref="G121:Z121"/>
    <mergeCell ref="F123:AD123"/>
    <mergeCell ref="AA121:AD121"/>
    <mergeCell ref="AA120:AD120"/>
    <mergeCell ref="F122:K122"/>
    <mergeCell ref="F128:Z128"/>
    <mergeCell ref="AA128:AD128"/>
    <mergeCell ref="AA112:AD112"/>
    <mergeCell ref="F129:AD129"/>
    <mergeCell ref="A125:I125"/>
    <mergeCell ref="F111:L111"/>
    <mergeCell ref="F127:Z127"/>
    <mergeCell ref="F126:K126"/>
    <mergeCell ref="F103:Z103"/>
    <mergeCell ref="AA143:AD143"/>
    <mergeCell ref="A126:E126"/>
    <mergeCell ref="A105:E105"/>
    <mergeCell ref="D10:F10"/>
    <mergeCell ref="L10:N10"/>
    <mergeCell ref="D11:N11"/>
    <mergeCell ref="V23:Y23"/>
    <mergeCell ref="D12:N12"/>
    <mergeCell ref="A15:AF15"/>
    <mergeCell ref="Z20:AF20"/>
    <mergeCell ref="B17:E17"/>
    <mergeCell ref="F16:U16"/>
    <mergeCell ref="B16:E16"/>
    <mergeCell ref="Z23:AF23"/>
    <mergeCell ref="A12:C12"/>
    <mergeCell ref="F19:U19"/>
    <mergeCell ref="A10:C10"/>
    <mergeCell ref="B22:E22"/>
    <mergeCell ref="D13:AF13"/>
    <mergeCell ref="A14:C14"/>
    <mergeCell ref="D14:G14"/>
    <mergeCell ref="B19:E19"/>
    <mergeCell ref="B20:E20"/>
    <mergeCell ref="B21:E21"/>
    <mergeCell ref="B23:E23"/>
    <mergeCell ref="Z21:AF21"/>
    <mergeCell ref="P7:R7"/>
    <mergeCell ref="S7:AD7"/>
    <mergeCell ref="V24:Y24"/>
    <mergeCell ref="P6:R6"/>
    <mergeCell ref="S6:AD6"/>
    <mergeCell ref="AA135:AD135"/>
    <mergeCell ref="AA139:AD139"/>
    <mergeCell ref="AA136:AD136"/>
    <mergeCell ref="AA63:AD63"/>
    <mergeCell ref="AA64:AD64"/>
    <mergeCell ref="H63:Z63"/>
    <mergeCell ref="AA58:AD58"/>
    <mergeCell ref="A66:AG66"/>
    <mergeCell ref="AA74:AD74"/>
    <mergeCell ref="A74:E81"/>
    <mergeCell ref="A73:E73"/>
    <mergeCell ref="A68:I68"/>
    <mergeCell ref="Z25:AF25"/>
    <mergeCell ref="V17:Y17"/>
    <mergeCell ref="A13:C13"/>
    <mergeCell ref="J68:N68"/>
    <mergeCell ref="A56:E64"/>
    <mergeCell ref="G10:H10"/>
    <mergeCell ref="I10:K10"/>
  </mergeCells>
  <phoneticPr fontId="1"/>
  <conditionalFormatting sqref="B17:E17">
    <cfRule type="containsText" dxfId="79" priority="6" operator="containsText" text="エラー">
      <formula>NOT(ISERROR(SEARCH("エラー",B17)))</formula>
    </cfRule>
    <cfRule type="containsText" dxfId="78" priority="10" operator="containsText" text="×">
      <formula>NOT(ISERROR(SEARCH("×",B17)))</formula>
    </cfRule>
  </conditionalFormatting>
  <conditionalFormatting sqref="B19:E28 B34:E40">
    <cfRule type="containsText" dxfId="77" priority="3" operator="containsText" text="エラー">
      <formula>NOT(ISERROR(SEARCH("エラー",B19)))</formula>
    </cfRule>
  </conditionalFormatting>
  <conditionalFormatting sqref="B30:E30 B32:E32">
    <cfRule type="containsText" dxfId="76" priority="41" operator="containsText" text="エラー">
      <formula>NOT(ISERROR(SEARCH("エラー",B30)))</formula>
    </cfRule>
  </conditionalFormatting>
  <conditionalFormatting sqref="F195:AC196">
    <cfRule type="expression" dxfId="75" priority="334">
      <formula>AL$195="△"</formula>
    </cfRule>
  </conditionalFormatting>
  <conditionalFormatting sqref="F198:AC199">
    <cfRule type="expression" dxfId="74" priority="335">
      <formula>AL$198="△"</formula>
    </cfRule>
  </conditionalFormatting>
  <conditionalFormatting sqref="H208:AC208">
    <cfRule type="containsText" dxfId="73" priority="16" operator="containsText" text="エラー">
      <formula>NOT(ISERROR(SEARCH("エラー",H208)))</formula>
    </cfRule>
  </conditionalFormatting>
  <conditionalFormatting sqref="J55 J132 J183">
    <cfRule type="containsText" dxfId="72" priority="7" operator="containsText" text="エラー">
      <formula>NOT(ISERROR(SEARCH("エラー",J55)))</formula>
    </cfRule>
  </conditionalFormatting>
  <conditionalFormatting sqref="J55:N55">
    <cfRule type="containsText" dxfId="71" priority="8" operator="containsText" text="×">
      <formula>NOT(ISERROR(SEARCH("×",J55)))</formula>
    </cfRule>
  </conditionalFormatting>
  <conditionalFormatting sqref="J117:N117">
    <cfRule type="containsText" dxfId="70" priority="14" operator="containsText" text="エラー">
      <formula>NOT(ISERROR(SEARCH("エラー",J117)))</formula>
    </cfRule>
  </conditionalFormatting>
  <conditionalFormatting sqref="J187:N187">
    <cfRule type="containsText" dxfId="69" priority="17" operator="containsText" text="エラー">
      <formula>NOT(ISERROR(SEARCH("エラー",J187)))</formula>
    </cfRule>
  </conditionalFormatting>
  <conditionalFormatting sqref="S203 X203:Y203 AA203:AB203 S204:AC204 S205">
    <cfRule type="expression" dxfId="68" priority="455">
      <formula xml:space="preserve"> NOT($AI$187)</formula>
    </cfRule>
  </conditionalFormatting>
  <conditionalFormatting sqref="S206">
    <cfRule type="expression" dxfId="67" priority="9">
      <formula xml:space="preserve"> NOT($AI$203)</formula>
    </cfRule>
  </conditionalFormatting>
  <conditionalFormatting sqref="Z32:AF32">
    <cfRule type="containsText" dxfId="66" priority="15" operator="containsText" text="エラー">
      <formula>NOT(ISERROR(SEARCH("エラー",Z32)))</formula>
    </cfRule>
  </conditionalFormatting>
  <conditionalFormatting sqref="AA59:AD59">
    <cfRule type="expression" dxfId="65" priority="40">
      <formula>OR($AI$60:$AI$61)</formula>
    </cfRule>
  </conditionalFormatting>
  <conditionalFormatting sqref="AA60:AD60">
    <cfRule type="expression" dxfId="64" priority="39">
      <formula>OR($AI$59,$AI$61)</formula>
    </cfRule>
  </conditionalFormatting>
  <conditionalFormatting sqref="AA61:AD61">
    <cfRule type="expression" dxfId="63" priority="38">
      <formula>OR($AI$59:$AI$60)</formula>
    </cfRule>
  </conditionalFormatting>
  <conditionalFormatting sqref="AA63:AD63">
    <cfRule type="expression" dxfId="62" priority="37">
      <formula>$AI$64</formula>
    </cfRule>
  </conditionalFormatting>
  <conditionalFormatting sqref="AA64:AD64">
    <cfRule type="expression" dxfId="61" priority="36">
      <formula>$AI$63</formula>
    </cfRule>
  </conditionalFormatting>
  <conditionalFormatting sqref="AA80:AD80">
    <cfRule type="expression" dxfId="60" priority="55">
      <formula>$AA$79&lt;&gt;"×"</formula>
    </cfRule>
  </conditionalFormatting>
  <conditionalFormatting sqref="AA141:AD141">
    <cfRule type="expression" dxfId="59" priority="29">
      <formula>OR($AI$140,$AI$144)</formula>
    </cfRule>
  </conditionalFormatting>
  <conditionalFormatting sqref="AA143:AD143">
    <cfRule type="expression" dxfId="58" priority="30">
      <formula>NOT($AI$138)</formula>
    </cfRule>
  </conditionalFormatting>
  <conditionalFormatting sqref="AA144:AD144">
    <cfRule type="expression" dxfId="57" priority="28">
      <formula>$AI$137</formula>
    </cfRule>
  </conditionalFormatting>
  <conditionalFormatting sqref="AA146:AD146 AA150:AD150">
    <cfRule type="containsText" dxfId="56" priority="23" operator="containsText" text="不一致">
      <formula>NOT(ISERROR(SEARCH("不一致",AA146)))</formula>
    </cfRule>
  </conditionalFormatting>
  <conditionalFormatting sqref="AA318:AD318">
    <cfRule type="expression" dxfId="55" priority="13">
      <formula>OR($AI$319,$AI$321)</formula>
    </cfRule>
  </conditionalFormatting>
  <conditionalFormatting sqref="AA318:AD319">
    <cfRule type="expression" dxfId="54" priority="5">
      <formula>AND($AI$318,$AI$319)</formula>
    </cfRule>
  </conditionalFormatting>
  <conditionalFormatting sqref="AA319:AD319">
    <cfRule type="expression" dxfId="53" priority="12">
      <formula>OR($AI$318,$AI$321)</formula>
    </cfRule>
  </conditionalFormatting>
  <conditionalFormatting sqref="AJ19:AJ28 AK20:AK21 AK23:AK29">
    <cfRule type="containsText" dxfId="52" priority="44" operator="containsText" text="エラー">
      <formula>NOT(ISERROR(SEARCH("エラー",AJ19)))</formula>
    </cfRule>
  </conditionalFormatting>
  <dataValidations count="17">
    <dataValidation type="whole" allowBlank="1" showInputMessage="1" showErrorMessage="1" sqref="F193:I193" xr:uid="{00000000-0002-0000-0400-000000000000}">
      <formula1>1950</formula1>
      <formula2>AK2+1</formula2>
    </dataValidation>
    <dataValidation type="decimal" allowBlank="1" showInputMessage="1" showErrorMessage="1" sqref="AA215:AD216" xr:uid="{00000000-0002-0000-0400-000001000000}">
      <formula1>1</formula1>
      <formula2>11</formula2>
    </dataValidation>
    <dataValidation type="whole" operator="lessThanOrEqual" allowBlank="1" showInputMessage="1" showErrorMessage="1" sqref="G152:AD152" xr:uid="{00000000-0002-0000-0400-000002000000}">
      <formula1>G$149</formula1>
    </dataValidation>
    <dataValidation type="whole" operator="lessThanOrEqual" allowBlank="1" showInputMessage="1" sqref="G148:AD149" xr:uid="{00000000-0002-0000-0400-000003000000}">
      <formula1>#REF!</formula1>
    </dataValidation>
    <dataValidation type="list" showInputMessage="1" showErrorMessage="1" sqref="I10 AB235:AC235 V30:Y30 AB238:AC238 V19:Y28 V34:Y40" xr:uid="{00000000-0002-0000-0400-000004000000}">
      <formula1>$AL$2:$AL$14</formula1>
    </dataValidation>
    <dataValidation type="list" allowBlank="1" showInputMessage="1" showErrorMessage="1" sqref="F69:K69 F313:K313 F133:K133 F303:K303 F294:K294 F281:K281 F261:K261 F268:K268 F169:K169 F213:K213 F126:K126 F118:K118 F108:K108 F102:K102 F89:K89 F73:K73 F95:K95" xr:uid="{00000000-0002-0000-0400-000005000000}">
      <formula1>$AQ$2:$AQ$4</formula1>
    </dataValidation>
    <dataValidation type="list" allowBlank="1" showInputMessage="1" showErrorMessage="1" sqref="AA318:AD319 AA264:AD264 AA79:AD80 AA321 AA315 AA144:AD144 AA138 AA75:AD77 AA63:AD64 AA57:AD57 AA59:AD61 AA121:AD121 AA272:AD272 AA140:AA141 AA171:AD171 AA143 AD220:AG220 AB248:AC248 AF249:AG250" xr:uid="{00000000-0002-0000-0400-000006000000}">
      <formula1>$AN$2:$AN$4</formula1>
    </dataValidation>
    <dataValidation type="list" allowBlank="1" showInputMessage="1" showErrorMessage="1" sqref="D11" xr:uid="{224106DB-59DB-4D5B-B3FD-2D07FD1AB52E}">
      <formula1>$AO$2:$AO$12</formula1>
    </dataValidation>
    <dataValidation type="list" allowBlank="1" showErrorMessage="1" prompt="_x000a_" sqref="V41:Y41" xr:uid="{00000000-0002-0000-0400-000008000000}">
      <formula1>$AL$2:$AL$14</formula1>
    </dataValidation>
    <dataValidation type="list" errorStyle="warning" showInputMessage="1" showErrorMessage="1" sqref="V32:Y32" xr:uid="{00000000-0002-0000-0400-000009000000}">
      <formula1>$AL$2:$AL$14</formula1>
    </dataValidation>
    <dataValidation type="list" allowBlank="1" showInputMessage="1" showErrorMessage="1" sqref="L193:M193 X203:Y203" xr:uid="{00000000-0002-0000-0400-00000A000000}">
      <formula1>$AL$2:$AL$14</formula1>
    </dataValidation>
    <dataValidation type="list" allowBlank="1" showInputMessage="1" showErrorMessage="1" sqref="AA203:AB203" xr:uid="{00000000-0002-0000-0400-00000B000000}">
      <formula1>$AX$2:$AX$34</formula1>
    </dataValidation>
    <dataValidation type="list" allowBlank="1" showInputMessage="1" showErrorMessage="1" sqref="S204:AC204" xr:uid="{00000000-0002-0000-0400-00000C000000}">
      <formula1>$AY$2:$AY$4</formula1>
    </dataValidation>
    <dataValidation type="list" allowBlank="1" showInputMessage="1" showErrorMessage="1" sqref="AB223:AE223 AB229:AE229" xr:uid="{00000000-0002-0000-0400-00000D000000}">
      <formula1>$AZ$2:$AZ$6</formula1>
    </dataValidation>
    <dataValidation type="list" allowBlank="1" showInputMessage="1" showErrorMessage="1" sqref="D12" xr:uid="{06A07CC0-FA05-40D0-A0D0-07596C5221E9}">
      <formula1>INDIRECT($D$11&amp;$AP$2)</formula1>
    </dataValidation>
    <dataValidation type="whole" operator="greaterThanOrEqual" allowBlank="1" showInputMessage="1" showErrorMessage="1" sqref="S203:V203" xr:uid="{00000000-0002-0000-0400-00000F000000}">
      <formula1>AK2-1</formula1>
    </dataValidation>
    <dataValidation type="list" allowBlank="1" showInputMessage="1" showErrorMessage="1" sqref="W244:AA244" xr:uid="{A5E6B927-1038-4488-9FE0-EC3A49F6E1A6}">
      <formula1>$AI$245:$AI$247</formula1>
    </dataValidation>
  </dataValidations>
  <printOptions horizontalCentered="1"/>
  <pageMargins left="0.39370078740157483" right="0.39370078740157483" top="0.39370078740157483" bottom="0.39370078740157483" header="0.31496062992125984" footer="0.31496062992125984"/>
  <pageSetup paperSize="9" scale="99" fitToHeight="0" orientation="portrait" r:id="rId1"/>
  <rowBreaks count="7" manualBreakCount="7">
    <brk id="51" max="32" man="1"/>
    <brk id="87" max="32" man="1"/>
    <brk id="131" max="32" man="1"/>
    <brk id="166" max="32" man="1"/>
    <brk id="211" max="32" man="1"/>
    <brk id="250" max="32" man="1"/>
    <brk id="291" max="3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10000000}">
          <x14:formula1>
            <xm:f>【様式５】職員数算出表!$AR$2:$AR$15</xm:f>
          </x14:formula1>
          <xm:sqref>F122:K122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B0F0"/>
    <pageSetUpPr fitToPage="1"/>
  </sheetPr>
  <dimension ref="A1:M106"/>
  <sheetViews>
    <sheetView view="pageBreakPreview" zoomScale="90" zoomScaleNormal="100" zoomScaleSheetLayoutView="90" workbookViewId="0">
      <selection activeCell="D5" sqref="D5:I5"/>
    </sheetView>
  </sheetViews>
  <sheetFormatPr defaultColWidth="9" defaultRowHeight="12" outlineLevelCol="1"/>
  <cols>
    <col min="1" max="1" width="6.25" style="146" customWidth="1"/>
    <col min="2" max="2" width="18.25" style="146" customWidth="1"/>
    <col min="3" max="3" width="10" style="146" bestFit="1" customWidth="1"/>
    <col min="4" max="4" width="18.25" style="146" customWidth="1"/>
    <col min="5" max="5" width="9" style="146"/>
    <col min="6" max="6" width="6.25" style="146" customWidth="1"/>
    <col min="7" max="7" width="18.25" style="146" customWidth="1"/>
    <col min="8" max="8" width="10" style="146" bestFit="1" customWidth="1"/>
    <col min="9" max="9" width="18.25" style="146" customWidth="1"/>
    <col min="10" max="10" width="50.625" style="146" customWidth="1"/>
    <col min="11" max="12" width="9" style="146" hidden="1" customWidth="1" outlineLevel="1"/>
    <col min="13" max="13" width="9" style="146" collapsed="1"/>
    <col min="14" max="16384" width="9" style="146"/>
  </cols>
  <sheetData>
    <row r="1" spans="1:12" ht="15" customHeight="1">
      <c r="A1" s="1017" t="s">
        <v>775</v>
      </c>
      <c r="B1" s="601"/>
      <c r="C1" s="601"/>
      <c r="D1" s="601"/>
      <c r="E1" s="601"/>
      <c r="F1" s="601"/>
      <c r="G1" s="1813" t="str">
        <f>K2&amp;"別紙1"&amp;K3</f>
        <v>加-25_4月申-別紙1-幼_Ver.4.00</v>
      </c>
      <c r="H1" s="1813"/>
      <c r="I1" s="1813"/>
      <c r="K1" s="221" t="s">
        <v>942</v>
      </c>
      <c r="L1" s="1018" t="s">
        <v>172</v>
      </c>
    </row>
    <row r="2" spans="1:12" ht="15" customHeight="1">
      <c r="A2" s="601"/>
      <c r="B2" s="601"/>
      <c r="C2" s="601"/>
      <c r="D2" s="601"/>
      <c r="E2" s="601"/>
      <c r="F2" s="601"/>
      <c r="G2" s="457"/>
      <c r="H2" s="457"/>
      <c r="I2" s="457"/>
      <c r="K2" s="221" t="str">
        <f>【様式１】総括表・個票!$AJ$2</f>
        <v>加-25_4月申-</v>
      </c>
      <c r="L2" s="1018"/>
    </row>
    <row r="3" spans="1:12" ht="15" customHeight="1" thickBot="1">
      <c r="A3" s="711" t="s">
        <v>453</v>
      </c>
      <c r="B3" s="601"/>
      <c r="C3" s="601"/>
      <c r="D3" s="601"/>
      <c r="E3" s="601"/>
      <c r="F3" s="712"/>
      <c r="G3" s="713"/>
      <c r="H3" s="712"/>
      <c r="I3" s="713"/>
      <c r="K3" s="221" t="str">
        <f>【様式１】総括表・個票!$AJ$3</f>
        <v>-幼_Ver.4.00</v>
      </c>
      <c r="L3" s="221" t="s">
        <v>173</v>
      </c>
    </row>
    <row r="4" spans="1:12" ht="15" customHeight="1">
      <c r="A4" s="1807" t="s">
        <v>212</v>
      </c>
      <c r="B4" s="1796" t="s">
        <v>213</v>
      </c>
      <c r="C4" s="1796"/>
      <c r="D4" s="1796" t="s">
        <v>214</v>
      </c>
      <c r="E4" s="1796"/>
      <c r="F4" s="1796"/>
      <c r="G4" s="1796"/>
      <c r="H4" s="1796"/>
      <c r="I4" s="1814"/>
      <c r="L4" s="221" t="s">
        <v>174</v>
      </c>
    </row>
    <row r="5" spans="1:12" ht="15" customHeight="1">
      <c r="A5" s="1808"/>
      <c r="B5" s="1810" t="s">
        <v>215</v>
      </c>
      <c r="C5" s="1810"/>
      <c r="D5" s="1815"/>
      <c r="E5" s="1815"/>
      <c r="F5" s="1815"/>
      <c r="G5" s="1815"/>
      <c r="H5" s="1815"/>
      <c r="I5" s="1816"/>
    </row>
    <row r="6" spans="1:12" ht="15" customHeight="1" thickBot="1">
      <c r="A6" s="1808"/>
      <c r="B6" s="1811" t="s">
        <v>216</v>
      </c>
      <c r="C6" s="1811"/>
      <c r="D6" s="1817"/>
      <c r="E6" s="1817"/>
      <c r="F6" s="1817"/>
      <c r="G6" s="1817"/>
      <c r="H6" s="1817"/>
      <c r="I6" s="1818"/>
    </row>
    <row r="7" spans="1:12" ht="15" hidden="1" customHeight="1">
      <c r="A7" s="1808"/>
      <c r="B7" s="1811" t="s">
        <v>217</v>
      </c>
      <c r="C7" s="1811"/>
      <c r="D7" s="1819"/>
      <c r="E7" s="1819"/>
      <c r="F7" s="1819"/>
      <c r="G7" s="1819"/>
      <c r="H7" s="1819"/>
      <c r="I7" s="1820"/>
    </row>
    <row r="8" spans="1:12" ht="15" hidden="1" customHeight="1" thickBot="1">
      <c r="A8" s="1809"/>
      <c r="B8" s="1812" t="s">
        <v>218</v>
      </c>
      <c r="C8" s="1812"/>
      <c r="D8" s="1821"/>
      <c r="E8" s="1821"/>
      <c r="F8" s="1821"/>
      <c r="G8" s="1821"/>
      <c r="H8" s="1821"/>
      <c r="I8" s="1822"/>
    </row>
    <row r="9" spans="1:12" ht="15" customHeight="1">
      <c r="A9" s="1804" t="s">
        <v>219</v>
      </c>
      <c r="B9" s="1796" t="s">
        <v>500</v>
      </c>
      <c r="C9" s="1796"/>
      <c r="D9" s="1796" t="s">
        <v>220</v>
      </c>
      <c r="E9" s="1796"/>
      <c r="F9" s="1796"/>
      <c r="G9" s="1796"/>
      <c r="H9" s="1796"/>
      <c r="I9" s="1814"/>
    </row>
    <row r="10" spans="1:12" ht="15" customHeight="1">
      <c r="A10" s="1805"/>
      <c r="B10" s="1797"/>
      <c r="C10" s="1797"/>
      <c r="D10" s="1800"/>
      <c r="E10" s="1800"/>
      <c r="F10" s="1800"/>
      <c r="G10" s="1800"/>
      <c r="H10" s="1800"/>
      <c r="I10" s="1801"/>
    </row>
    <row r="11" spans="1:12" ht="15" customHeight="1">
      <c r="A11" s="1805"/>
      <c r="B11" s="1795"/>
      <c r="C11" s="1795"/>
      <c r="D11" s="1793"/>
      <c r="E11" s="1793"/>
      <c r="F11" s="1793"/>
      <c r="G11" s="1793"/>
      <c r="H11" s="1793"/>
      <c r="I11" s="1794"/>
    </row>
    <row r="12" spans="1:12" ht="15" customHeight="1">
      <c r="A12" s="1805"/>
      <c r="B12" s="1795"/>
      <c r="C12" s="1795"/>
      <c r="D12" s="1793"/>
      <c r="E12" s="1793"/>
      <c r="F12" s="1793"/>
      <c r="G12" s="1793"/>
      <c r="H12" s="1793"/>
      <c r="I12" s="1794"/>
    </row>
    <row r="13" spans="1:12" ht="15" customHeight="1">
      <c r="A13" s="1805"/>
      <c r="B13" s="1795"/>
      <c r="C13" s="1795"/>
      <c r="D13" s="1793"/>
      <c r="E13" s="1793"/>
      <c r="F13" s="1793"/>
      <c r="G13" s="1793"/>
      <c r="H13" s="1793"/>
      <c r="I13" s="1794"/>
    </row>
    <row r="14" spans="1:12" ht="15" customHeight="1">
      <c r="A14" s="1805"/>
      <c r="B14" s="1795"/>
      <c r="C14" s="1795"/>
      <c r="D14" s="1793"/>
      <c r="E14" s="1793"/>
      <c r="F14" s="1793"/>
      <c r="G14" s="1793"/>
      <c r="H14" s="1793"/>
      <c r="I14" s="1794"/>
    </row>
    <row r="15" spans="1:12" ht="15" customHeight="1">
      <c r="A15" s="1805"/>
      <c r="B15" s="1795"/>
      <c r="C15" s="1795"/>
      <c r="D15" s="1793"/>
      <c r="E15" s="1793"/>
      <c r="F15" s="1793"/>
      <c r="G15" s="1793"/>
      <c r="H15" s="1793"/>
      <c r="I15" s="1794"/>
    </row>
    <row r="16" spans="1:12" ht="15" customHeight="1">
      <c r="A16" s="1805"/>
      <c r="B16" s="1795"/>
      <c r="C16" s="1795"/>
      <c r="D16" s="1793"/>
      <c r="E16" s="1793"/>
      <c r="F16" s="1793"/>
      <c r="G16" s="1793"/>
      <c r="H16" s="1793"/>
      <c r="I16" s="1794"/>
    </row>
    <row r="17" spans="1:9" ht="15" customHeight="1">
      <c r="A17" s="1805"/>
      <c r="B17" s="1795"/>
      <c r="C17" s="1795"/>
      <c r="D17" s="1793"/>
      <c r="E17" s="1793"/>
      <c r="F17" s="1793"/>
      <c r="G17" s="1793"/>
      <c r="H17" s="1793"/>
      <c r="I17" s="1794"/>
    </row>
    <row r="18" spans="1:9" ht="15" customHeight="1">
      <c r="A18" s="1805"/>
      <c r="B18" s="1795"/>
      <c r="C18" s="1795"/>
      <c r="D18" s="1793"/>
      <c r="E18" s="1793"/>
      <c r="F18" s="1793"/>
      <c r="G18" s="1793"/>
      <c r="H18" s="1793"/>
      <c r="I18" s="1794"/>
    </row>
    <row r="19" spans="1:9" ht="15" customHeight="1" thickBot="1">
      <c r="A19" s="1806"/>
      <c r="B19" s="1802"/>
      <c r="C19" s="1802"/>
      <c r="D19" s="1798"/>
      <c r="E19" s="1798"/>
      <c r="F19" s="1798"/>
      <c r="G19" s="1798"/>
      <c r="H19" s="1798"/>
      <c r="I19" s="1799"/>
    </row>
    <row r="20" spans="1:9" ht="15" customHeight="1">
      <c r="A20" s="1804" t="s">
        <v>221</v>
      </c>
      <c r="B20" s="1796" t="s">
        <v>500</v>
      </c>
      <c r="C20" s="1796"/>
      <c r="D20" s="1796" t="s">
        <v>222</v>
      </c>
      <c r="E20" s="1796"/>
      <c r="F20" s="1796"/>
      <c r="G20" s="1796"/>
      <c r="H20" s="1796"/>
      <c r="I20" s="1814"/>
    </row>
    <row r="21" spans="1:9" ht="15" customHeight="1">
      <c r="A21" s="1805"/>
      <c r="B21" s="1797"/>
      <c r="C21" s="1797"/>
      <c r="D21" s="1800"/>
      <c r="E21" s="1800"/>
      <c r="F21" s="1800"/>
      <c r="G21" s="1800"/>
      <c r="H21" s="1800"/>
      <c r="I21" s="1801"/>
    </row>
    <row r="22" spans="1:9" ht="15" customHeight="1">
      <c r="A22" s="1805"/>
      <c r="B22" s="1795"/>
      <c r="C22" s="1795"/>
      <c r="D22" s="1793"/>
      <c r="E22" s="1793"/>
      <c r="F22" s="1793"/>
      <c r="G22" s="1793"/>
      <c r="H22" s="1793"/>
      <c r="I22" s="1794"/>
    </row>
    <row r="23" spans="1:9" ht="15" customHeight="1">
      <c r="A23" s="1805"/>
      <c r="B23" s="1795"/>
      <c r="C23" s="1795"/>
      <c r="D23" s="1793"/>
      <c r="E23" s="1793"/>
      <c r="F23" s="1793"/>
      <c r="G23" s="1793"/>
      <c r="H23" s="1793"/>
      <c r="I23" s="1794"/>
    </row>
    <row r="24" spans="1:9" ht="15" customHeight="1">
      <c r="A24" s="1805"/>
      <c r="B24" s="1795"/>
      <c r="C24" s="1795"/>
      <c r="D24" s="1793"/>
      <c r="E24" s="1793"/>
      <c r="F24" s="1793"/>
      <c r="G24" s="1793"/>
      <c r="H24" s="1793"/>
      <c r="I24" s="1794"/>
    </row>
    <row r="25" spans="1:9" ht="15" customHeight="1">
      <c r="A25" s="1805"/>
      <c r="B25" s="1795"/>
      <c r="C25" s="1795"/>
      <c r="D25" s="1793"/>
      <c r="E25" s="1793"/>
      <c r="F25" s="1793"/>
      <c r="G25" s="1793"/>
      <c r="H25" s="1793"/>
      <c r="I25" s="1794"/>
    </row>
    <row r="26" spans="1:9" ht="15" customHeight="1">
      <c r="A26" s="1805"/>
      <c r="B26" s="1795"/>
      <c r="C26" s="1795"/>
      <c r="D26" s="1793"/>
      <c r="E26" s="1793"/>
      <c r="F26" s="1793"/>
      <c r="G26" s="1793"/>
      <c r="H26" s="1793"/>
      <c r="I26" s="1794"/>
    </row>
    <row r="27" spans="1:9" ht="15" customHeight="1">
      <c r="A27" s="1805"/>
      <c r="B27" s="1795"/>
      <c r="C27" s="1795"/>
      <c r="D27" s="1793"/>
      <c r="E27" s="1793"/>
      <c r="F27" s="1793"/>
      <c r="G27" s="1793"/>
      <c r="H27" s="1793"/>
      <c r="I27" s="1794"/>
    </row>
    <row r="28" spans="1:9" ht="15" customHeight="1">
      <c r="A28" s="1805"/>
      <c r="B28" s="1795"/>
      <c r="C28" s="1795"/>
      <c r="D28" s="1793"/>
      <c r="E28" s="1793"/>
      <c r="F28" s="1793"/>
      <c r="G28" s="1793"/>
      <c r="H28" s="1793"/>
      <c r="I28" s="1794"/>
    </row>
    <row r="29" spans="1:9" ht="15" customHeight="1">
      <c r="A29" s="1805"/>
      <c r="B29" s="1795"/>
      <c r="C29" s="1795"/>
      <c r="D29" s="1793"/>
      <c r="E29" s="1793"/>
      <c r="F29" s="1793"/>
      <c r="G29" s="1793"/>
      <c r="H29" s="1793"/>
      <c r="I29" s="1794"/>
    </row>
    <row r="30" spans="1:9" ht="15" customHeight="1">
      <c r="A30" s="1805"/>
      <c r="B30" s="1795"/>
      <c r="C30" s="1795"/>
      <c r="D30" s="1793"/>
      <c r="E30" s="1793"/>
      <c r="F30" s="1793"/>
      <c r="G30" s="1793"/>
      <c r="H30" s="1793"/>
      <c r="I30" s="1794"/>
    </row>
    <row r="31" spans="1:9" ht="15" customHeight="1">
      <c r="A31" s="1805"/>
      <c r="B31" s="1795"/>
      <c r="C31" s="1795"/>
      <c r="D31" s="1793"/>
      <c r="E31" s="1793"/>
      <c r="F31" s="1793"/>
      <c r="G31" s="1793"/>
      <c r="H31" s="1793"/>
      <c r="I31" s="1794"/>
    </row>
    <row r="32" spans="1:9" ht="15" customHeight="1">
      <c r="A32" s="1805"/>
      <c r="B32" s="1795"/>
      <c r="C32" s="1795"/>
      <c r="D32" s="1793"/>
      <c r="E32" s="1793"/>
      <c r="F32" s="1793"/>
      <c r="G32" s="1793"/>
      <c r="H32" s="1793"/>
      <c r="I32" s="1794"/>
    </row>
    <row r="33" spans="1:9" ht="15" customHeight="1">
      <c r="A33" s="1805"/>
      <c r="B33" s="1795"/>
      <c r="C33" s="1795"/>
      <c r="D33" s="1793"/>
      <c r="E33" s="1793"/>
      <c r="F33" s="1793"/>
      <c r="G33" s="1793"/>
      <c r="H33" s="1793"/>
      <c r="I33" s="1794"/>
    </row>
    <row r="34" spans="1:9" ht="15" customHeight="1">
      <c r="A34" s="1805"/>
      <c r="B34" s="1795"/>
      <c r="C34" s="1795"/>
      <c r="D34" s="1793"/>
      <c r="E34" s="1793"/>
      <c r="F34" s="1793"/>
      <c r="G34" s="1793"/>
      <c r="H34" s="1793"/>
      <c r="I34" s="1794"/>
    </row>
    <row r="35" spans="1:9" ht="15" customHeight="1">
      <c r="A35" s="1805"/>
      <c r="B35" s="1795"/>
      <c r="C35" s="1795"/>
      <c r="D35" s="1793"/>
      <c r="E35" s="1793"/>
      <c r="F35" s="1793"/>
      <c r="G35" s="1793"/>
      <c r="H35" s="1793"/>
      <c r="I35" s="1794"/>
    </row>
    <row r="36" spans="1:9" ht="15" customHeight="1">
      <c r="A36" s="1805"/>
      <c r="B36" s="1795"/>
      <c r="C36" s="1795"/>
      <c r="D36" s="1793"/>
      <c r="E36" s="1793"/>
      <c r="F36" s="1793"/>
      <c r="G36" s="1793"/>
      <c r="H36" s="1793"/>
      <c r="I36" s="1794"/>
    </row>
    <row r="37" spans="1:9" ht="15" customHeight="1">
      <c r="A37" s="1805"/>
      <c r="B37" s="1795"/>
      <c r="C37" s="1795"/>
      <c r="D37" s="1793"/>
      <c r="E37" s="1793"/>
      <c r="F37" s="1793"/>
      <c r="G37" s="1793"/>
      <c r="H37" s="1793"/>
      <c r="I37" s="1794"/>
    </row>
    <row r="38" spans="1:9" ht="15" customHeight="1">
      <c r="A38" s="1805"/>
      <c r="B38" s="1795"/>
      <c r="C38" s="1795"/>
      <c r="D38" s="1793"/>
      <c r="E38" s="1793"/>
      <c r="F38" s="1793"/>
      <c r="G38" s="1793"/>
      <c r="H38" s="1793"/>
      <c r="I38" s="1794"/>
    </row>
    <row r="39" spans="1:9" ht="15" customHeight="1" thickBot="1">
      <c r="A39" s="1805"/>
      <c r="B39" s="1803"/>
      <c r="C39" s="1803"/>
      <c r="D39" s="1825"/>
      <c r="E39" s="1825"/>
      <c r="F39" s="1825"/>
      <c r="G39" s="1825"/>
      <c r="H39" s="1825"/>
      <c r="I39" s="1826"/>
    </row>
    <row r="40" spans="1:9" ht="15" customHeight="1" thickBot="1">
      <c r="A40" s="1806"/>
      <c r="B40" s="1823"/>
      <c r="C40" s="1824"/>
      <c r="D40" s="1827" t="s">
        <v>488</v>
      </c>
      <c r="E40" s="1828"/>
      <c r="F40" s="1828"/>
      <c r="G40" s="1828"/>
      <c r="H40" s="1828"/>
      <c r="I40" s="1829"/>
    </row>
    <row r="41" spans="1:9" ht="15" customHeight="1">
      <c r="A41" s="1804" t="s">
        <v>223</v>
      </c>
      <c r="B41" s="1796" t="s">
        <v>532</v>
      </c>
      <c r="C41" s="1796"/>
      <c r="D41" s="1796" t="s">
        <v>224</v>
      </c>
      <c r="E41" s="1796"/>
      <c r="F41" s="1796"/>
      <c r="G41" s="1796"/>
      <c r="H41" s="1796"/>
      <c r="I41" s="1814"/>
    </row>
    <row r="42" spans="1:9" ht="15" customHeight="1">
      <c r="A42" s="1805"/>
      <c r="B42" s="1797"/>
      <c r="C42" s="1797"/>
      <c r="D42" s="1800"/>
      <c r="E42" s="1800"/>
      <c r="F42" s="1800"/>
      <c r="G42" s="1800"/>
      <c r="H42" s="1800"/>
      <c r="I42" s="1801"/>
    </row>
    <row r="43" spans="1:9" ht="15" customHeight="1">
      <c r="A43" s="1805"/>
      <c r="B43" s="1795"/>
      <c r="C43" s="1795"/>
      <c r="D43" s="1793"/>
      <c r="E43" s="1793"/>
      <c r="F43" s="1793"/>
      <c r="G43" s="1793"/>
      <c r="H43" s="1793"/>
      <c r="I43" s="1794"/>
    </row>
    <row r="44" spans="1:9" ht="15" customHeight="1">
      <c r="A44" s="1805"/>
      <c r="B44" s="1795"/>
      <c r="C44" s="1795"/>
      <c r="D44" s="1793"/>
      <c r="E44" s="1793"/>
      <c r="F44" s="1793"/>
      <c r="G44" s="1793"/>
      <c r="H44" s="1793"/>
      <c r="I44" s="1794"/>
    </row>
    <row r="45" spans="1:9" ht="15" customHeight="1">
      <c r="A45" s="1805"/>
      <c r="B45" s="1795"/>
      <c r="C45" s="1795"/>
      <c r="D45" s="1793"/>
      <c r="E45" s="1793"/>
      <c r="F45" s="1793"/>
      <c r="G45" s="1793"/>
      <c r="H45" s="1793"/>
      <c r="I45" s="1794"/>
    </row>
    <row r="46" spans="1:9" ht="15" customHeight="1">
      <c r="A46" s="1805"/>
      <c r="B46" s="1795"/>
      <c r="C46" s="1795"/>
      <c r="D46" s="1793"/>
      <c r="E46" s="1793"/>
      <c r="F46" s="1793"/>
      <c r="G46" s="1793"/>
      <c r="H46" s="1793"/>
      <c r="I46" s="1794"/>
    </row>
    <row r="47" spans="1:9" ht="15" customHeight="1">
      <c r="A47" s="1805"/>
      <c r="B47" s="1795"/>
      <c r="C47" s="1795"/>
      <c r="D47" s="1793"/>
      <c r="E47" s="1793"/>
      <c r="F47" s="1793"/>
      <c r="G47" s="1793"/>
      <c r="H47" s="1793"/>
      <c r="I47" s="1794"/>
    </row>
    <row r="48" spans="1:9" ht="15" customHeight="1">
      <c r="A48" s="1805"/>
      <c r="B48" s="1795"/>
      <c r="C48" s="1795"/>
      <c r="D48" s="1793"/>
      <c r="E48" s="1793"/>
      <c r="F48" s="1793"/>
      <c r="G48" s="1793"/>
      <c r="H48" s="1793"/>
      <c r="I48" s="1794"/>
    </row>
    <row r="49" spans="1:9" ht="15" customHeight="1">
      <c r="A49" s="1805"/>
      <c r="B49" s="1795"/>
      <c r="C49" s="1795"/>
      <c r="D49" s="1793"/>
      <c r="E49" s="1793"/>
      <c r="F49" s="1793"/>
      <c r="G49" s="1793"/>
      <c r="H49" s="1793"/>
      <c r="I49" s="1794"/>
    </row>
    <row r="50" spans="1:9" ht="15" customHeight="1">
      <c r="A50" s="1805"/>
      <c r="B50" s="1795"/>
      <c r="C50" s="1795"/>
      <c r="D50" s="1793"/>
      <c r="E50" s="1793"/>
      <c r="F50" s="1793"/>
      <c r="G50" s="1793"/>
      <c r="H50" s="1793"/>
      <c r="I50" s="1794"/>
    </row>
    <row r="51" spans="1:9" ht="15" customHeight="1" thickBot="1">
      <c r="A51" s="1806"/>
      <c r="B51" s="1802"/>
      <c r="C51" s="1802"/>
      <c r="D51" s="1798"/>
      <c r="E51" s="1798"/>
      <c r="F51" s="1798"/>
      <c r="G51" s="1798"/>
      <c r="H51" s="1798"/>
      <c r="I51" s="1799"/>
    </row>
    <row r="52" spans="1:9" ht="15" customHeight="1">
      <c r="A52" s="601"/>
      <c r="B52" s="601"/>
      <c r="C52" s="601"/>
      <c r="D52" s="601"/>
      <c r="E52" s="601"/>
      <c r="F52" s="601"/>
      <c r="G52" s="712"/>
      <c r="H52" s="712"/>
      <c r="I52" s="713"/>
    </row>
    <row r="53" spans="1:9" ht="15" customHeight="1">
      <c r="A53" s="711" t="s">
        <v>225</v>
      </c>
      <c r="B53" s="601"/>
      <c r="C53" s="601"/>
      <c r="D53" s="601"/>
      <c r="E53" s="601"/>
      <c r="F53" s="601"/>
      <c r="G53" s="712"/>
      <c r="H53" s="712"/>
      <c r="I53" s="713"/>
    </row>
    <row r="54" spans="1:9" ht="15" customHeight="1">
      <c r="A54" s="601" t="s">
        <v>476</v>
      </c>
      <c r="B54" s="601"/>
      <c r="C54" s="601"/>
      <c r="D54" s="601"/>
      <c r="E54" s="601"/>
      <c r="F54" s="601"/>
      <c r="G54" s="601"/>
      <c r="H54" s="601"/>
      <c r="I54" s="601"/>
    </row>
    <row r="55" spans="1:9" ht="15" customHeight="1">
      <c r="A55" s="601" t="s">
        <v>477</v>
      </c>
      <c r="B55" s="601"/>
      <c r="C55" s="601"/>
      <c r="D55" s="601"/>
      <c r="E55" s="601"/>
      <c r="F55" s="601"/>
      <c r="G55" s="601"/>
      <c r="H55" s="601"/>
      <c r="I55" s="601"/>
    </row>
    <row r="56" spans="1:9" ht="15" customHeight="1">
      <c r="A56" s="939" t="s">
        <v>95</v>
      </c>
      <c r="B56" s="954" t="s">
        <v>2</v>
      </c>
      <c r="C56" s="1019" t="s">
        <v>172</v>
      </c>
      <c r="D56" s="955" t="s">
        <v>96</v>
      </c>
      <c r="E56" s="601"/>
      <c r="F56" s="939" t="s">
        <v>95</v>
      </c>
      <c r="G56" s="954" t="s">
        <v>2</v>
      </c>
      <c r="H56" s="1019" t="s">
        <v>172</v>
      </c>
      <c r="I56" s="955" t="s">
        <v>96</v>
      </c>
    </row>
    <row r="57" spans="1:9" ht="15" customHeight="1">
      <c r="A57" s="1020">
        <v>1</v>
      </c>
      <c r="B57" s="1021" t="str">
        <f>CONCATENATE(【様式１】総括表・個票!D12)</f>
        <v/>
      </c>
      <c r="C57" s="1026"/>
      <c r="D57" s="1027"/>
      <c r="E57" s="601"/>
      <c r="F57" s="1020">
        <v>51</v>
      </c>
      <c r="G57" s="1032"/>
      <c r="H57" s="1026"/>
      <c r="I57" s="1027"/>
    </row>
    <row r="58" spans="1:9" ht="15" customHeight="1">
      <c r="A58" s="1022">
        <v>2</v>
      </c>
      <c r="B58" s="1024"/>
      <c r="C58" s="1028"/>
      <c r="D58" s="1029"/>
      <c r="E58" s="601"/>
      <c r="F58" s="1022">
        <v>52</v>
      </c>
      <c r="G58" s="1024"/>
      <c r="H58" s="1028"/>
      <c r="I58" s="1029"/>
    </row>
    <row r="59" spans="1:9" ht="15" customHeight="1">
      <c r="A59" s="1022">
        <v>3</v>
      </c>
      <c r="B59" s="1024"/>
      <c r="C59" s="1028"/>
      <c r="D59" s="1029"/>
      <c r="E59" s="601"/>
      <c r="F59" s="1022">
        <v>53</v>
      </c>
      <c r="G59" s="1024"/>
      <c r="H59" s="1028"/>
      <c r="I59" s="1029"/>
    </row>
    <row r="60" spans="1:9" ht="15" customHeight="1">
      <c r="A60" s="1022">
        <v>4</v>
      </c>
      <c r="B60" s="1024"/>
      <c r="C60" s="1028"/>
      <c r="D60" s="1029"/>
      <c r="E60" s="601"/>
      <c r="F60" s="1022">
        <v>54</v>
      </c>
      <c r="G60" s="1024"/>
      <c r="H60" s="1028"/>
      <c r="I60" s="1029"/>
    </row>
    <row r="61" spans="1:9" ht="15" customHeight="1">
      <c r="A61" s="1022">
        <v>5</v>
      </c>
      <c r="B61" s="1024"/>
      <c r="C61" s="1028"/>
      <c r="D61" s="1029"/>
      <c r="E61" s="601"/>
      <c r="F61" s="1022">
        <v>55</v>
      </c>
      <c r="G61" s="1024"/>
      <c r="H61" s="1028"/>
      <c r="I61" s="1029"/>
    </row>
    <row r="62" spans="1:9" ht="15" customHeight="1">
      <c r="A62" s="1022">
        <v>6</v>
      </c>
      <c r="B62" s="1024"/>
      <c r="C62" s="1028"/>
      <c r="D62" s="1029"/>
      <c r="E62" s="601"/>
      <c r="F62" s="1022">
        <v>56</v>
      </c>
      <c r="G62" s="1024"/>
      <c r="H62" s="1028"/>
      <c r="I62" s="1029"/>
    </row>
    <row r="63" spans="1:9" ht="15" customHeight="1">
      <c r="A63" s="1022">
        <v>7</v>
      </c>
      <c r="B63" s="1024"/>
      <c r="C63" s="1028"/>
      <c r="D63" s="1029"/>
      <c r="E63" s="601"/>
      <c r="F63" s="1022">
        <v>57</v>
      </c>
      <c r="G63" s="1024"/>
      <c r="H63" s="1028"/>
      <c r="I63" s="1029"/>
    </row>
    <row r="64" spans="1:9" ht="15" customHeight="1">
      <c r="A64" s="1022">
        <v>8</v>
      </c>
      <c r="B64" s="1024"/>
      <c r="C64" s="1028"/>
      <c r="D64" s="1029"/>
      <c r="E64" s="601"/>
      <c r="F64" s="1022">
        <v>58</v>
      </c>
      <c r="G64" s="1024"/>
      <c r="H64" s="1028"/>
      <c r="I64" s="1029"/>
    </row>
    <row r="65" spans="1:9" ht="15" customHeight="1">
      <c r="A65" s="1022">
        <v>9</v>
      </c>
      <c r="B65" s="1024"/>
      <c r="C65" s="1028"/>
      <c r="D65" s="1029"/>
      <c r="E65" s="601"/>
      <c r="F65" s="1022">
        <v>59</v>
      </c>
      <c r="G65" s="1024"/>
      <c r="H65" s="1028"/>
      <c r="I65" s="1029"/>
    </row>
    <row r="66" spans="1:9" ht="15" customHeight="1">
      <c r="A66" s="1022">
        <v>10</v>
      </c>
      <c r="B66" s="1024"/>
      <c r="C66" s="1028"/>
      <c r="D66" s="1029"/>
      <c r="E66" s="601"/>
      <c r="F66" s="1022">
        <v>60</v>
      </c>
      <c r="G66" s="1024"/>
      <c r="H66" s="1028"/>
      <c r="I66" s="1029"/>
    </row>
    <row r="67" spans="1:9" ht="15" customHeight="1">
      <c r="A67" s="1022">
        <v>11</v>
      </c>
      <c r="B67" s="1024"/>
      <c r="C67" s="1028"/>
      <c r="D67" s="1029"/>
      <c r="E67" s="601"/>
      <c r="F67" s="1022">
        <v>61</v>
      </c>
      <c r="G67" s="1024"/>
      <c r="H67" s="1028"/>
      <c r="I67" s="1029"/>
    </row>
    <row r="68" spans="1:9" ht="15" customHeight="1">
      <c r="A68" s="1022">
        <v>12</v>
      </c>
      <c r="B68" s="1024"/>
      <c r="C68" s="1028"/>
      <c r="D68" s="1029"/>
      <c r="E68" s="601"/>
      <c r="F68" s="1022">
        <v>62</v>
      </c>
      <c r="G68" s="1024"/>
      <c r="H68" s="1028"/>
      <c r="I68" s="1029"/>
    </row>
    <row r="69" spans="1:9" ht="15" customHeight="1">
      <c r="A69" s="1022">
        <v>13</v>
      </c>
      <c r="B69" s="1024"/>
      <c r="C69" s="1028"/>
      <c r="D69" s="1029"/>
      <c r="E69" s="601"/>
      <c r="F69" s="1022">
        <v>63</v>
      </c>
      <c r="G69" s="1024"/>
      <c r="H69" s="1028"/>
      <c r="I69" s="1029"/>
    </row>
    <row r="70" spans="1:9" ht="15" customHeight="1">
      <c r="A70" s="1022">
        <v>14</v>
      </c>
      <c r="B70" s="1024"/>
      <c r="C70" s="1028"/>
      <c r="D70" s="1029"/>
      <c r="E70" s="601"/>
      <c r="F70" s="1022">
        <v>64</v>
      </c>
      <c r="G70" s="1024"/>
      <c r="H70" s="1028"/>
      <c r="I70" s="1029"/>
    </row>
    <row r="71" spans="1:9" ht="15" customHeight="1">
      <c r="A71" s="1022">
        <v>15</v>
      </c>
      <c r="B71" s="1024"/>
      <c r="C71" s="1028"/>
      <c r="D71" s="1029"/>
      <c r="E71" s="601"/>
      <c r="F71" s="1022">
        <v>65</v>
      </c>
      <c r="G71" s="1024"/>
      <c r="H71" s="1028"/>
      <c r="I71" s="1029"/>
    </row>
    <row r="72" spans="1:9" ht="15" customHeight="1">
      <c r="A72" s="1022">
        <v>16</v>
      </c>
      <c r="B72" s="1024"/>
      <c r="C72" s="1028"/>
      <c r="D72" s="1029"/>
      <c r="E72" s="601"/>
      <c r="F72" s="1022">
        <v>66</v>
      </c>
      <c r="G72" s="1024"/>
      <c r="H72" s="1028"/>
      <c r="I72" s="1029"/>
    </row>
    <row r="73" spans="1:9" ht="15" customHeight="1">
      <c r="A73" s="1022">
        <v>17</v>
      </c>
      <c r="B73" s="1024"/>
      <c r="C73" s="1028"/>
      <c r="D73" s="1029"/>
      <c r="E73" s="601"/>
      <c r="F73" s="1022">
        <v>67</v>
      </c>
      <c r="G73" s="1024"/>
      <c r="H73" s="1028"/>
      <c r="I73" s="1029"/>
    </row>
    <row r="74" spans="1:9" ht="15" customHeight="1">
      <c r="A74" s="1022">
        <v>18</v>
      </c>
      <c r="B74" s="1024"/>
      <c r="C74" s="1028"/>
      <c r="D74" s="1029"/>
      <c r="E74" s="601"/>
      <c r="F74" s="1022">
        <v>68</v>
      </c>
      <c r="G74" s="1024"/>
      <c r="H74" s="1028"/>
      <c r="I74" s="1029"/>
    </row>
    <row r="75" spans="1:9" ht="15" customHeight="1">
      <c r="A75" s="1022">
        <v>19</v>
      </c>
      <c r="B75" s="1024"/>
      <c r="C75" s="1028"/>
      <c r="D75" s="1029"/>
      <c r="E75" s="601"/>
      <c r="F75" s="1022">
        <v>69</v>
      </c>
      <c r="G75" s="1024"/>
      <c r="H75" s="1028"/>
      <c r="I75" s="1029"/>
    </row>
    <row r="76" spans="1:9" ht="15" customHeight="1">
      <c r="A76" s="1022">
        <v>20</v>
      </c>
      <c r="B76" s="1024"/>
      <c r="C76" s="1028"/>
      <c r="D76" s="1029"/>
      <c r="E76" s="601"/>
      <c r="F76" s="1022">
        <v>70</v>
      </c>
      <c r="G76" s="1024"/>
      <c r="H76" s="1028"/>
      <c r="I76" s="1029"/>
    </row>
    <row r="77" spans="1:9" ht="15" customHeight="1">
      <c r="A77" s="1022">
        <v>21</v>
      </c>
      <c r="B77" s="1024"/>
      <c r="C77" s="1028"/>
      <c r="D77" s="1029"/>
      <c r="E77" s="601"/>
      <c r="F77" s="1022">
        <v>71</v>
      </c>
      <c r="G77" s="1024"/>
      <c r="H77" s="1028"/>
      <c r="I77" s="1029"/>
    </row>
    <row r="78" spans="1:9" ht="15" customHeight="1">
      <c r="A78" s="1022">
        <v>22</v>
      </c>
      <c r="B78" s="1024"/>
      <c r="C78" s="1028"/>
      <c r="D78" s="1029"/>
      <c r="E78" s="601"/>
      <c r="F78" s="1022">
        <v>72</v>
      </c>
      <c r="G78" s="1024"/>
      <c r="H78" s="1028"/>
      <c r="I78" s="1029"/>
    </row>
    <row r="79" spans="1:9" ht="15" customHeight="1">
      <c r="A79" s="1022">
        <v>23</v>
      </c>
      <c r="B79" s="1024"/>
      <c r="C79" s="1028"/>
      <c r="D79" s="1029"/>
      <c r="E79" s="601"/>
      <c r="F79" s="1022">
        <v>73</v>
      </c>
      <c r="G79" s="1024"/>
      <c r="H79" s="1028"/>
      <c r="I79" s="1029"/>
    </row>
    <row r="80" spans="1:9" ht="15" customHeight="1">
      <c r="A80" s="1022">
        <v>24</v>
      </c>
      <c r="B80" s="1024"/>
      <c r="C80" s="1028"/>
      <c r="D80" s="1029"/>
      <c r="E80" s="601"/>
      <c r="F80" s="1022">
        <v>74</v>
      </c>
      <c r="G80" s="1024"/>
      <c r="H80" s="1028"/>
      <c r="I80" s="1029"/>
    </row>
    <row r="81" spans="1:9" ht="15" customHeight="1">
      <c r="A81" s="1022">
        <v>25</v>
      </c>
      <c r="B81" s="1024"/>
      <c r="C81" s="1028"/>
      <c r="D81" s="1029"/>
      <c r="E81" s="601"/>
      <c r="F81" s="1022">
        <v>75</v>
      </c>
      <c r="G81" s="1024"/>
      <c r="H81" s="1028"/>
      <c r="I81" s="1029"/>
    </row>
    <row r="82" spans="1:9" ht="15" customHeight="1">
      <c r="A82" s="1022">
        <v>26</v>
      </c>
      <c r="B82" s="1024"/>
      <c r="C82" s="1028"/>
      <c r="D82" s="1029"/>
      <c r="E82" s="601"/>
      <c r="F82" s="1022">
        <v>76</v>
      </c>
      <c r="G82" s="1024"/>
      <c r="H82" s="1028"/>
      <c r="I82" s="1029"/>
    </row>
    <row r="83" spans="1:9" ht="15" customHeight="1">
      <c r="A83" s="1022">
        <v>27</v>
      </c>
      <c r="B83" s="1024"/>
      <c r="C83" s="1028"/>
      <c r="D83" s="1029"/>
      <c r="E83" s="601"/>
      <c r="F83" s="1022">
        <v>77</v>
      </c>
      <c r="G83" s="1024"/>
      <c r="H83" s="1028"/>
      <c r="I83" s="1029"/>
    </row>
    <row r="84" spans="1:9" ht="15" customHeight="1">
      <c r="A84" s="1022">
        <v>28</v>
      </c>
      <c r="B84" s="1024"/>
      <c r="C84" s="1028"/>
      <c r="D84" s="1029"/>
      <c r="E84" s="601"/>
      <c r="F84" s="1022">
        <v>78</v>
      </c>
      <c r="G84" s="1024"/>
      <c r="H84" s="1028"/>
      <c r="I84" s="1029"/>
    </row>
    <row r="85" spans="1:9" ht="15" customHeight="1">
      <c r="A85" s="1022">
        <v>29</v>
      </c>
      <c r="B85" s="1024"/>
      <c r="C85" s="1028"/>
      <c r="D85" s="1029"/>
      <c r="E85" s="601"/>
      <c r="F85" s="1022">
        <v>79</v>
      </c>
      <c r="G85" s="1024"/>
      <c r="H85" s="1028"/>
      <c r="I85" s="1029"/>
    </row>
    <row r="86" spans="1:9" ht="15" customHeight="1">
      <c r="A86" s="1022">
        <v>30</v>
      </c>
      <c r="B86" s="1024"/>
      <c r="C86" s="1028"/>
      <c r="D86" s="1029"/>
      <c r="E86" s="601"/>
      <c r="F86" s="1022">
        <v>80</v>
      </c>
      <c r="G86" s="1024"/>
      <c r="H86" s="1028"/>
      <c r="I86" s="1029"/>
    </row>
    <row r="87" spans="1:9" ht="15" customHeight="1">
      <c r="A87" s="1022">
        <v>31</v>
      </c>
      <c r="B87" s="1024"/>
      <c r="C87" s="1028"/>
      <c r="D87" s="1029"/>
      <c r="E87" s="601"/>
      <c r="F87" s="1022">
        <v>81</v>
      </c>
      <c r="G87" s="1024"/>
      <c r="H87" s="1028"/>
      <c r="I87" s="1029"/>
    </row>
    <row r="88" spans="1:9" ht="15" customHeight="1">
      <c r="A88" s="1022">
        <v>32</v>
      </c>
      <c r="B88" s="1024"/>
      <c r="C88" s="1028"/>
      <c r="D88" s="1029"/>
      <c r="E88" s="601"/>
      <c r="F88" s="1022">
        <v>82</v>
      </c>
      <c r="G88" s="1024"/>
      <c r="H88" s="1028"/>
      <c r="I88" s="1029"/>
    </row>
    <row r="89" spans="1:9" ht="15" customHeight="1">
      <c r="A89" s="1022">
        <v>33</v>
      </c>
      <c r="B89" s="1024"/>
      <c r="C89" s="1028"/>
      <c r="D89" s="1029"/>
      <c r="E89" s="601"/>
      <c r="F89" s="1022">
        <v>83</v>
      </c>
      <c r="G89" s="1024"/>
      <c r="H89" s="1028"/>
      <c r="I89" s="1029"/>
    </row>
    <row r="90" spans="1:9" ht="15" customHeight="1">
      <c r="A90" s="1022">
        <v>34</v>
      </c>
      <c r="B90" s="1024"/>
      <c r="C90" s="1028"/>
      <c r="D90" s="1029"/>
      <c r="E90" s="601"/>
      <c r="F90" s="1022">
        <v>84</v>
      </c>
      <c r="G90" s="1024"/>
      <c r="H90" s="1028"/>
      <c r="I90" s="1029"/>
    </row>
    <row r="91" spans="1:9" ht="15" customHeight="1">
      <c r="A91" s="1022">
        <v>35</v>
      </c>
      <c r="B91" s="1024"/>
      <c r="C91" s="1028"/>
      <c r="D91" s="1029"/>
      <c r="E91" s="601"/>
      <c r="F91" s="1022">
        <v>85</v>
      </c>
      <c r="G91" s="1024"/>
      <c r="H91" s="1028"/>
      <c r="I91" s="1029"/>
    </row>
    <row r="92" spans="1:9" ht="15" customHeight="1">
      <c r="A92" s="1022">
        <v>36</v>
      </c>
      <c r="B92" s="1024"/>
      <c r="C92" s="1028"/>
      <c r="D92" s="1029"/>
      <c r="E92" s="601"/>
      <c r="F92" s="1022">
        <v>86</v>
      </c>
      <c r="G92" s="1024"/>
      <c r="H92" s="1028"/>
      <c r="I92" s="1029"/>
    </row>
    <row r="93" spans="1:9" ht="15" customHeight="1">
      <c r="A93" s="1022">
        <v>37</v>
      </c>
      <c r="B93" s="1024"/>
      <c r="C93" s="1028"/>
      <c r="D93" s="1029"/>
      <c r="E93" s="601"/>
      <c r="F93" s="1022">
        <v>87</v>
      </c>
      <c r="G93" s="1024"/>
      <c r="H93" s="1028"/>
      <c r="I93" s="1029"/>
    </row>
    <row r="94" spans="1:9" ht="15" customHeight="1">
      <c r="A94" s="1022">
        <v>38</v>
      </c>
      <c r="B94" s="1024"/>
      <c r="C94" s="1028"/>
      <c r="D94" s="1029"/>
      <c r="E94" s="601"/>
      <c r="F94" s="1022">
        <v>88</v>
      </c>
      <c r="G94" s="1024"/>
      <c r="H94" s="1028"/>
      <c r="I94" s="1029"/>
    </row>
    <row r="95" spans="1:9" ht="15" customHeight="1">
      <c r="A95" s="1022">
        <v>39</v>
      </c>
      <c r="B95" s="1024"/>
      <c r="C95" s="1028"/>
      <c r="D95" s="1029"/>
      <c r="E95" s="601"/>
      <c r="F95" s="1022">
        <v>89</v>
      </c>
      <c r="G95" s="1024"/>
      <c r="H95" s="1028"/>
      <c r="I95" s="1029"/>
    </row>
    <row r="96" spans="1:9" ht="15" customHeight="1">
      <c r="A96" s="1022">
        <v>40</v>
      </c>
      <c r="B96" s="1024"/>
      <c r="C96" s="1028"/>
      <c r="D96" s="1029"/>
      <c r="E96" s="601"/>
      <c r="F96" s="1022">
        <v>90</v>
      </c>
      <c r="G96" s="1024"/>
      <c r="H96" s="1028"/>
      <c r="I96" s="1029"/>
    </row>
    <row r="97" spans="1:9" ht="15" customHeight="1">
      <c r="A97" s="1022">
        <v>41</v>
      </c>
      <c r="B97" s="1024"/>
      <c r="C97" s="1028"/>
      <c r="D97" s="1029"/>
      <c r="E97" s="601"/>
      <c r="F97" s="1022">
        <v>91</v>
      </c>
      <c r="G97" s="1024"/>
      <c r="H97" s="1028"/>
      <c r="I97" s="1029"/>
    </row>
    <row r="98" spans="1:9" ht="15" customHeight="1">
      <c r="A98" s="1022">
        <v>42</v>
      </c>
      <c r="B98" s="1024"/>
      <c r="C98" s="1028"/>
      <c r="D98" s="1029"/>
      <c r="E98" s="601"/>
      <c r="F98" s="1022">
        <v>92</v>
      </c>
      <c r="G98" s="1024"/>
      <c r="H98" s="1028"/>
      <c r="I98" s="1029"/>
    </row>
    <row r="99" spans="1:9" ht="15" customHeight="1">
      <c r="A99" s="1022">
        <v>43</v>
      </c>
      <c r="B99" s="1024"/>
      <c r="C99" s="1028"/>
      <c r="D99" s="1029"/>
      <c r="E99" s="601"/>
      <c r="F99" s="1022">
        <v>93</v>
      </c>
      <c r="G99" s="1024"/>
      <c r="H99" s="1028"/>
      <c r="I99" s="1029"/>
    </row>
    <row r="100" spans="1:9" ht="15" customHeight="1">
      <c r="A100" s="1022">
        <v>44</v>
      </c>
      <c r="B100" s="1024"/>
      <c r="C100" s="1028"/>
      <c r="D100" s="1029"/>
      <c r="E100" s="601"/>
      <c r="F100" s="1022">
        <v>94</v>
      </c>
      <c r="G100" s="1024"/>
      <c r="H100" s="1028"/>
      <c r="I100" s="1029"/>
    </row>
    <row r="101" spans="1:9" ht="15" customHeight="1">
      <c r="A101" s="1022">
        <v>45</v>
      </c>
      <c r="B101" s="1024"/>
      <c r="C101" s="1028"/>
      <c r="D101" s="1029"/>
      <c r="E101" s="601"/>
      <c r="F101" s="1022">
        <v>95</v>
      </c>
      <c r="G101" s="1024"/>
      <c r="H101" s="1028"/>
      <c r="I101" s="1029"/>
    </row>
    <row r="102" spans="1:9" ht="15" customHeight="1">
      <c r="A102" s="1022">
        <v>46</v>
      </c>
      <c r="B102" s="1024"/>
      <c r="C102" s="1028"/>
      <c r="D102" s="1029"/>
      <c r="E102" s="601"/>
      <c r="F102" s="1022">
        <v>96</v>
      </c>
      <c r="G102" s="1024"/>
      <c r="H102" s="1028"/>
      <c r="I102" s="1029"/>
    </row>
    <row r="103" spans="1:9" ht="15" customHeight="1">
      <c r="A103" s="1022">
        <v>47</v>
      </c>
      <c r="B103" s="1024"/>
      <c r="C103" s="1028"/>
      <c r="D103" s="1029"/>
      <c r="E103" s="601"/>
      <c r="F103" s="1022">
        <v>97</v>
      </c>
      <c r="G103" s="1024"/>
      <c r="H103" s="1028"/>
      <c r="I103" s="1029"/>
    </row>
    <row r="104" spans="1:9" ht="15" customHeight="1">
      <c r="A104" s="1022">
        <v>48</v>
      </c>
      <c r="B104" s="1024"/>
      <c r="C104" s="1028"/>
      <c r="D104" s="1029"/>
      <c r="E104" s="601"/>
      <c r="F104" s="1022">
        <v>98</v>
      </c>
      <c r="G104" s="1024"/>
      <c r="H104" s="1028"/>
      <c r="I104" s="1029"/>
    </row>
    <row r="105" spans="1:9" ht="15" customHeight="1">
      <c r="A105" s="1022">
        <v>49</v>
      </c>
      <c r="B105" s="1024"/>
      <c r="C105" s="1028"/>
      <c r="D105" s="1029"/>
      <c r="E105" s="601"/>
      <c r="F105" s="1022">
        <v>99</v>
      </c>
      <c r="G105" s="1024"/>
      <c r="H105" s="1028"/>
      <c r="I105" s="1029"/>
    </row>
    <row r="106" spans="1:9" ht="15" customHeight="1">
      <c r="A106" s="1023">
        <v>50</v>
      </c>
      <c r="B106" s="1025"/>
      <c r="C106" s="1030"/>
      <c r="D106" s="1031"/>
      <c r="E106" s="601"/>
      <c r="F106" s="1023">
        <v>100</v>
      </c>
      <c r="G106" s="1025"/>
      <c r="H106" s="1030"/>
      <c r="I106" s="1031"/>
    </row>
  </sheetData>
  <sheetProtection algorithmName="SHA-512" hashValue="WkE6Y1sSUl0cfXs1WlgYZccBVzHjoc4xCknnveJHsxU+m75sZJxABPqAWnxnmvPQmZ1uYu5P5g9ODsCcfkjM0g==" saltValue="ty0+NjCwqnRer0InDv1opQ==" spinCount="100000" sheet="1" objects="1" scenarios="1" selectLockedCells="1"/>
  <mergeCells count="101">
    <mergeCell ref="D50:I50"/>
    <mergeCell ref="D51:I51"/>
    <mergeCell ref="D41:I41"/>
    <mergeCell ref="D20:I20"/>
    <mergeCell ref="D9:I9"/>
    <mergeCell ref="D43:I43"/>
    <mergeCell ref="D44:I44"/>
    <mergeCell ref="D45:I45"/>
    <mergeCell ref="D46:I46"/>
    <mergeCell ref="D47:I47"/>
    <mergeCell ref="D48:I48"/>
    <mergeCell ref="D36:I36"/>
    <mergeCell ref="D37:I37"/>
    <mergeCell ref="D38:I38"/>
    <mergeCell ref="D39:I39"/>
    <mergeCell ref="D40:I40"/>
    <mergeCell ref="D42:I42"/>
    <mergeCell ref="D30:I30"/>
    <mergeCell ref="D31:I31"/>
    <mergeCell ref="D32:I32"/>
    <mergeCell ref="D33:I33"/>
    <mergeCell ref="D34:I34"/>
    <mergeCell ref="D17:I17"/>
    <mergeCell ref="D18:I18"/>
    <mergeCell ref="D49:I49"/>
    <mergeCell ref="D15:I15"/>
    <mergeCell ref="D16:I16"/>
    <mergeCell ref="G1:I1"/>
    <mergeCell ref="B48:C48"/>
    <mergeCell ref="B49:C49"/>
    <mergeCell ref="D35:I35"/>
    <mergeCell ref="D24:I24"/>
    <mergeCell ref="D25:I25"/>
    <mergeCell ref="D26:I26"/>
    <mergeCell ref="D27:I27"/>
    <mergeCell ref="D28:I28"/>
    <mergeCell ref="D29:I29"/>
    <mergeCell ref="D4:I4"/>
    <mergeCell ref="D5:I5"/>
    <mergeCell ref="D6:I6"/>
    <mergeCell ref="D7:I7"/>
    <mergeCell ref="D8:I8"/>
    <mergeCell ref="D10:I10"/>
    <mergeCell ref="B33:C33"/>
    <mergeCell ref="B40:C40"/>
    <mergeCell ref="B41:C41"/>
    <mergeCell ref="B30:C30"/>
    <mergeCell ref="B31:C31"/>
    <mergeCell ref="A41:A51"/>
    <mergeCell ref="A20:A40"/>
    <mergeCell ref="A9:A19"/>
    <mergeCell ref="A4:A8"/>
    <mergeCell ref="B4:C4"/>
    <mergeCell ref="B5:C5"/>
    <mergeCell ref="B6:C6"/>
    <mergeCell ref="B14:C14"/>
    <mergeCell ref="B15:C15"/>
    <mergeCell ref="B16:C16"/>
    <mergeCell ref="B17:C17"/>
    <mergeCell ref="B7:C7"/>
    <mergeCell ref="B8:C8"/>
    <mergeCell ref="B9:C9"/>
    <mergeCell ref="B10:C10"/>
    <mergeCell ref="B11:C11"/>
    <mergeCell ref="B51:C51"/>
    <mergeCell ref="B45:C45"/>
    <mergeCell ref="B46:C46"/>
    <mergeCell ref="B50:C50"/>
    <mergeCell ref="B35:C35"/>
    <mergeCell ref="B24:C24"/>
    <mergeCell ref="B25:C25"/>
    <mergeCell ref="B26:C26"/>
    <mergeCell ref="B47:C47"/>
    <mergeCell ref="B12:C12"/>
    <mergeCell ref="B13:C13"/>
    <mergeCell ref="B18:C18"/>
    <mergeCell ref="B19:C19"/>
    <mergeCell ref="B34:C34"/>
    <mergeCell ref="B42:C42"/>
    <mergeCell ref="B43:C43"/>
    <mergeCell ref="B44:C44"/>
    <mergeCell ref="B36:C36"/>
    <mergeCell ref="B37:C37"/>
    <mergeCell ref="B38:C38"/>
    <mergeCell ref="B39:C39"/>
    <mergeCell ref="B32:C32"/>
    <mergeCell ref="D11:I11"/>
    <mergeCell ref="D12:I12"/>
    <mergeCell ref="D13:I13"/>
    <mergeCell ref="D14:I14"/>
    <mergeCell ref="B27:C27"/>
    <mergeCell ref="B28:C28"/>
    <mergeCell ref="B29:C29"/>
    <mergeCell ref="B20:C20"/>
    <mergeCell ref="B21:C21"/>
    <mergeCell ref="B22:C22"/>
    <mergeCell ref="B23:C23"/>
    <mergeCell ref="D19:I19"/>
    <mergeCell ref="D21:I21"/>
    <mergeCell ref="D22:I22"/>
    <mergeCell ref="D23:I23"/>
  </mergeCells>
  <phoneticPr fontId="1"/>
  <dataValidations count="1">
    <dataValidation type="list" allowBlank="1" showInputMessage="1" showErrorMessage="1" sqref="C57:C106 H57:H106" xr:uid="{00000000-0002-0000-0500-000000000000}">
      <formula1>$L$3:$L$4</formula1>
    </dataValidation>
  </dataValidations>
  <pageMargins left="0.70866141732283472" right="0.70866141732283472" top="0.74803149606299213" bottom="0.74803149606299213" header="0.31496062992125984" footer="0.31496062992125984"/>
  <pageSetup paperSize="9" scale="77" fitToHeight="0" orientation="portrait" r:id="rId1"/>
  <rowBreaks count="1" manualBreakCount="1">
    <brk id="52"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B0F0"/>
  </sheetPr>
  <dimension ref="A1:P33"/>
  <sheetViews>
    <sheetView view="pageBreakPreview" zoomScale="90" zoomScaleNormal="70" zoomScaleSheetLayoutView="90" workbookViewId="0">
      <selection sqref="A1:D1"/>
    </sheetView>
  </sheetViews>
  <sheetFormatPr defaultColWidth="9" defaultRowHeight="14.25" outlineLevelCol="1"/>
  <cols>
    <col min="1" max="1" width="5.625" style="438" customWidth="1"/>
    <col min="2" max="2" width="20.375" style="438" customWidth="1"/>
    <col min="3" max="8" width="10.625" style="438" customWidth="1"/>
    <col min="9" max="9" width="5.625" style="438" customWidth="1"/>
    <col min="10" max="10" width="10.5" style="438" hidden="1" customWidth="1" outlineLevel="1"/>
    <col min="11" max="11" width="11.625" style="438" hidden="1" customWidth="1" outlineLevel="1"/>
    <col min="12" max="12" width="5.625" style="438" hidden="1" customWidth="1" outlineLevel="1"/>
    <col min="13" max="13" width="6.25" style="438" hidden="1" customWidth="1" outlineLevel="1"/>
    <col min="14" max="15" width="3.875" style="438" hidden="1" customWidth="1" outlineLevel="1"/>
    <col min="16" max="16" width="9" style="438" collapsed="1"/>
    <col min="17" max="16384" width="9" style="438"/>
  </cols>
  <sheetData>
    <row r="1" spans="1:15" s="433" customFormat="1" ht="24.95" customHeight="1">
      <c r="A1" s="1836" t="s">
        <v>774</v>
      </c>
      <c r="B1" s="1836"/>
      <c r="C1" s="1836"/>
      <c r="D1" s="1836"/>
      <c r="E1" s="1844" t="str">
        <f>J2&amp;"別紙4"&amp;J3</f>
        <v>加-25_4月申-別紙4-幼_Ver.4.00</v>
      </c>
      <c r="F1" s="1844"/>
      <c r="G1" s="1844"/>
      <c r="H1" s="1844"/>
      <c r="I1" s="432"/>
      <c r="J1" s="221" t="s">
        <v>942</v>
      </c>
      <c r="L1" s="442"/>
      <c r="M1" s="930" t="s">
        <v>9</v>
      </c>
      <c r="N1" s="434" t="s">
        <v>108</v>
      </c>
      <c r="O1" s="434" t="s">
        <v>548</v>
      </c>
    </row>
    <row r="2" spans="1:15" s="433" customFormat="1" ht="24.95" customHeight="1">
      <c r="A2" s="184" t="s">
        <v>987</v>
      </c>
      <c r="B2" s="437"/>
      <c r="C2" s="437"/>
      <c r="D2" s="437"/>
      <c r="E2" s="437"/>
      <c r="F2" s="439"/>
      <c r="G2" s="437"/>
      <c r="H2" s="437"/>
      <c r="I2" s="432"/>
      <c r="J2" s="221" t="str">
        <f>【様式１】総括表・個票!$AJ$2</f>
        <v>加-25_4月申-</v>
      </c>
      <c r="L2" s="442" t="s">
        <v>983</v>
      </c>
      <c r="M2" s="932">
        <f>【様式１】総括表・個票!AK2</f>
        <v>2025</v>
      </c>
      <c r="N2" s="434"/>
      <c r="O2" s="434"/>
    </row>
    <row r="3" spans="1:15" s="433" customFormat="1" ht="24.95" customHeight="1">
      <c r="A3" s="437"/>
      <c r="B3" s="440" t="s">
        <v>551</v>
      </c>
      <c r="C3" s="1033"/>
      <c r="D3" s="440" t="s">
        <v>92</v>
      </c>
      <c r="E3" s="1033"/>
      <c r="F3" s="440" t="s">
        <v>548</v>
      </c>
      <c r="G3" s="1837" t="str">
        <f>IF(J5=0,"←未入力",IF(J5=1,"←開始＞終了",IF(J5=2,"←誤入力","")))</f>
        <v>←未入力</v>
      </c>
      <c r="H3" s="1837"/>
      <c r="I3" s="432"/>
      <c r="J3" s="221" t="str">
        <f>【様式１】総括表・個票!$AJ$3</f>
        <v>-幼_Ver.4.00</v>
      </c>
      <c r="L3" s="442" t="s">
        <v>984</v>
      </c>
      <c r="M3" s="931"/>
      <c r="N3" s="435">
        <v>4</v>
      </c>
      <c r="O3" s="435">
        <v>1</v>
      </c>
    </row>
    <row r="4" spans="1:15" s="433" customFormat="1" ht="24.95" customHeight="1">
      <c r="A4" s="437"/>
      <c r="B4" s="444" t="s">
        <v>552</v>
      </c>
      <c r="C4" s="1034"/>
      <c r="D4" s="444" t="s">
        <v>92</v>
      </c>
      <c r="E4" s="1034"/>
      <c r="F4" s="444" t="s">
        <v>548</v>
      </c>
      <c r="G4" s="1837" t="str">
        <f>IF(J6=0,"←未入力",IF(J6=1,"←開始＞終了",IF(J6=2,"←誤入力","")))</f>
        <v>←未入力</v>
      </c>
      <c r="H4" s="1837"/>
      <c r="I4" s="437"/>
      <c r="J4" s="435" t="s">
        <v>549</v>
      </c>
      <c r="K4" s="435" t="s">
        <v>550</v>
      </c>
      <c r="L4" s="442" t="s">
        <v>985</v>
      </c>
      <c r="M4" s="436"/>
      <c r="N4" s="435">
        <v>5</v>
      </c>
      <c r="O4" s="435">
        <v>2</v>
      </c>
    </row>
    <row r="5" spans="1:15" s="433" customFormat="1" ht="24.95" customHeight="1">
      <c r="A5" s="184" t="s">
        <v>988</v>
      </c>
      <c r="B5" s="432"/>
      <c r="C5" s="432"/>
      <c r="D5" s="432"/>
      <c r="E5" s="432"/>
      <c r="F5" s="432"/>
      <c r="G5" s="432"/>
      <c r="H5" s="432"/>
      <c r="I5" s="441"/>
      <c r="J5" s="442">
        <f>IF(OR(C3=0,E3=0,C3="",E3=""),0,IF($K$6&lt;$K$5,1,IF(MONTH(DATE($M$2,C3,1))&lt;&gt;MONTH(DATE($M$2,C3,E3)),2,3)))</f>
        <v>0</v>
      </c>
      <c r="K5" s="443">
        <f>DATE(IF(C3&lt;4,$M$2+1,$M$2),C3,E3)</f>
        <v>45991</v>
      </c>
      <c r="L5" s="442" t="s">
        <v>986</v>
      </c>
      <c r="M5" s="436"/>
      <c r="N5" s="435">
        <v>6</v>
      </c>
      <c r="O5" s="435">
        <v>3</v>
      </c>
    </row>
    <row r="6" spans="1:15" ht="24.95" hidden="1" customHeight="1">
      <c r="A6" s="437"/>
      <c r="B6" s="1842" t="s">
        <v>994</v>
      </c>
      <c r="C6" s="1842"/>
      <c r="D6" s="1842"/>
      <c r="E6" s="1842"/>
      <c r="F6" s="1842"/>
      <c r="G6" s="1842"/>
      <c r="H6" s="1842"/>
      <c r="I6" s="441"/>
      <c r="J6" s="442">
        <f>IF(OR(C4=0,E4=0,C4="",E4=""),0,IF($K$6&lt;$K$5,1,IF(MONTH(DATE($M$2,C4,1))&lt;&gt;MONTH(DATE($M$2,C4,E4)),2,3)))</f>
        <v>0</v>
      </c>
      <c r="K6" s="443">
        <f>DATE(IF(C4&lt;4,$M$2+1,$M$2),C4,E4)</f>
        <v>45991</v>
      </c>
      <c r="M6" s="439"/>
      <c r="N6" s="435">
        <v>7</v>
      </c>
      <c r="O6" s="435">
        <v>4</v>
      </c>
    </row>
    <row r="7" spans="1:15" ht="24.95" hidden="1" customHeight="1">
      <c r="A7" s="437"/>
      <c r="B7" s="1842"/>
      <c r="C7" s="1842"/>
      <c r="D7" s="1842"/>
      <c r="E7" s="1842"/>
      <c r="F7" s="1842"/>
      <c r="G7" s="1842"/>
      <c r="H7" s="1842"/>
      <c r="I7" s="437"/>
      <c r="N7" s="435">
        <v>8</v>
      </c>
      <c r="O7" s="435">
        <v>5</v>
      </c>
    </row>
    <row r="8" spans="1:15" ht="15" hidden="1" customHeight="1">
      <c r="A8" s="437"/>
      <c r="B8" s="1843" t="s">
        <v>989</v>
      </c>
      <c r="C8" s="1843"/>
      <c r="D8" s="1843"/>
      <c r="E8" s="1843"/>
      <c r="F8" s="1843"/>
      <c r="G8" s="1843"/>
      <c r="H8" s="1843"/>
      <c r="I8" s="437"/>
      <c r="N8" s="435">
        <v>9</v>
      </c>
      <c r="O8" s="435">
        <v>6</v>
      </c>
    </row>
    <row r="9" spans="1:15" ht="15" hidden="1" customHeight="1">
      <c r="A9" s="437"/>
      <c r="B9" s="1843" t="s">
        <v>990</v>
      </c>
      <c r="C9" s="1843"/>
      <c r="D9" s="1843"/>
      <c r="E9" s="1843"/>
      <c r="F9" s="1843"/>
      <c r="G9" s="1843"/>
      <c r="H9" s="1843"/>
      <c r="I9" s="437"/>
      <c r="N9" s="435">
        <v>10</v>
      </c>
      <c r="O9" s="435">
        <v>7</v>
      </c>
    </row>
    <row r="10" spans="1:15" ht="15" hidden="1" customHeight="1">
      <c r="A10" s="437"/>
      <c r="B10" s="1843" t="s">
        <v>991</v>
      </c>
      <c r="C10" s="1843"/>
      <c r="D10" s="1843"/>
      <c r="E10" s="1843"/>
      <c r="F10" s="1843"/>
      <c r="G10" s="1843"/>
      <c r="H10" s="1843"/>
      <c r="I10" s="437"/>
      <c r="N10" s="435">
        <v>11</v>
      </c>
      <c r="O10" s="435">
        <v>8</v>
      </c>
    </row>
    <row r="11" spans="1:15" ht="15" hidden="1" customHeight="1">
      <c r="A11" s="437"/>
      <c r="B11" s="1843" t="s">
        <v>992</v>
      </c>
      <c r="C11" s="1843"/>
      <c r="D11" s="1843"/>
      <c r="E11" s="1843"/>
      <c r="F11" s="1843"/>
      <c r="G11" s="1843"/>
      <c r="H11" s="1843"/>
      <c r="I11" s="437"/>
      <c r="N11" s="435">
        <v>12</v>
      </c>
      <c r="O11" s="435">
        <v>9</v>
      </c>
    </row>
    <row r="12" spans="1:15" ht="24.95" customHeight="1">
      <c r="A12" s="437"/>
      <c r="B12" s="1845" t="s">
        <v>993</v>
      </c>
      <c r="C12" s="1845"/>
      <c r="D12" s="1845"/>
      <c r="E12" s="1845"/>
      <c r="F12" s="1845"/>
      <c r="G12" s="1845"/>
      <c r="H12" s="1845"/>
      <c r="I12" s="437"/>
      <c r="N12" s="435">
        <v>1</v>
      </c>
      <c r="O12" s="435">
        <v>10</v>
      </c>
    </row>
    <row r="13" spans="1:15" ht="24.95" customHeight="1">
      <c r="A13" s="437"/>
      <c r="B13" s="445" t="s">
        <v>108</v>
      </c>
      <c r="C13" s="928" t="s">
        <v>981</v>
      </c>
      <c r="D13" s="966" t="s">
        <v>553</v>
      </c>
      <c r="E13" s="1838" t="s">
        <v>120</v>
      </c>
      <c r="F13" s="1838"/>
      <c r="G13" s="1839"/>
      <c r="H13" s="437"/>
      <c r="I13" s="437"/>
      <c r="J13" s="435" t="s">
        <v>554</v>
      </c>
      <c r="K13" s="435" t="s">
        <v>555</v>
      </c>
      <c r="N13" s="435">
        <v>2</v>
      </c>
      <c r="O13" s="435">
        <v>11</v>
      </c>
    </row>
    <row r="14" spans="1:15" ht="24.95" customHeight="1">
      <c r="A14" s="437"/>
      <c r="B14" s="446">
        <v>4</v>
      </c>
      <c r="C14" s="1155"/>
      <c r="D14" s="1035"/>
      <c r="E14" s="1840" t="str">
        <f t="shared" ref="E14:E25" si="0">IF(AND(SUM($J$5:$J$6)=6,$K$6&gt;=$J14,$K$5&lt;=$K14),IF($D14&gt;0,"○","△"),"×")</f>
        <v>×</v>
      </c>
      <c r="F14" s="1840"/>
      <c r="G14" s="1841"/>
      <c r="H14" s="926" t="str">
        <f t="shared" ref="H14:H25" si="1">IF(AND(SUM($J$5:$J$6)=6,$K$6&gt;=$J14,$K$5&lt;=$K14,D14=0),"←未入力","")</f>
        <v/>
      </c>
      <c r="I14" s="927"/>
      <c r="J14" s="447">
        <f>DATE(IF($B14&lt;4,$M$2+1,$M$2),$B14,1)</f>
        <v>45748</v>
      </c>
      <c r="K14" s="447">
        <f t="shared" ref="K14:K25" si="2">DATE(IF($B14&lt;4,$M$2+1,$M$2),$B14+1,0)</f>
        <v>45777</v>
      </c>
      <c r="N14" s="435">
        <v>3</v>
      </c>
      <c r="O14" s="435">
        <v>12</v>
      </c>
    </row>
    <row r="15" spans="1:15" ht="24.95" customHeight="1">
      <c r="A15" s="437"/>
      <c r="B15" s="448">
        <v>5</v>
      </c>
      <c r="C15" s="1156"/>
      <c r="D15" s="1036"/>
      <c r="E15" s="1834" t="str">
        <f t="shared" si="0"/>
        <v>×</v>
      </c>
      <c r="F15" s="1834"/>
      <c r="G15" s="1835"/>
      <c r="H15" s="926" t="str">
        <f t="shared" si="1"/>
        <v/>
      </c>
      <c r="I15" s="927"/>
      <c r="J15" s="447">
        <f t="shared" ref="J15:J25" si="3">DATE(IF($B15&lt;4,$M$2+1,$M$2),$B15,1)</f>
        <v>45778</v>
      </c>
      <c r="K15" s="447">
        <f t="shared" si="2"/>
        <v>45808</v>
      </c>
      <c r="O15" s="435">
        <v>13</v>
      </c>
    </row>
    <row r="16" spans="1:15" ht="24.95" customHeight="1">
      <c r="A16" s="437"/>
      <c r="B16" s="448">
        <v>6</v>
      </c>
      <c r="C16" s="1156"/>
      <c r="D16" s="1036"/>
      <c r="E16" s="1834" t="str">
        <f t="shared" si="0"/>
        <v>×</v>
      </c>
      <c r="F16" s="1834"/>
      <c r="G16" s="1835"/>
      <c r="H16" s="926" t="str">
        <f t="shared" si="1"/>
        <v/>
      </c>
      <c r="I16" s="927"/>
      <c r="J16" s="447">
        <f t="shared" si="3"/>
        <v>45809</v>
      </c>
      <c r="K16" s="447">
        <f t="shared" si="2"/>
        <v>45838</v>
      </c>
      <c r="O16" s="435">
        <v>14</v>
      </c>
    </row>
    <row r="17" spans="1:15" ht="24.95" customHeight="1">
      <c r="A17" s="437"/>
      <c r="B17" s="448">
        <v>7</v>
      </c>
      <c r="C17" s="1156"/>
      <c r="D17" s="1036"/>
      <c r="E17" s="1834" t="str">
        <f t="shared" si="0"/>
        <v>×</v>
      </c>
      <c r="F17" s="1834"/>
      <c r="G17" s="1835"/>
      <c r="H17" s="926" t="str">
        <f t="shared" si="1"/>
        <v/>
      </c>
      <c r="I17" s="927"/>
      <c r="J17" s="447">
        <f t="shared" si="3"/>
        <v>45839</v>
      </c>
      <c r="K17" s="447">
        <f t="shared" si="2"/>
        <v>45869</v>
      </c>
      <c r="O17" s="435">
        <v>15</v>
      </c>
    </row>
    <row r="18" spans="1:15" ht="24.95" customHeight="1">
      <c r="A18" s="437"/>
      <c r="B18" s="448">
        <v>8</v>
      </c>
      <c r="C18" s="1156"/>
      <c r="D18" s="1036"/>
      <c r="E18" s="1834" t="str">
        <f t="shared" si="0"/>
        <v>×</v>
      </c>
      <c r="F18" s="1834"/>
      <c r="G18" s="1835"/>
      <c r="H18" s="926" t="str">
        <f t="shared" si="1"/>
        <v/>
      </c>
      <c r="I18" s="927"/>
      <c r="J18" s="447">
        <f t="shared" si="3"/>
        <v>45870</v>
      </c>
      <c r="K18" s="447">
        <f t="shared" si="2"/>
        <v>45900</v>
      </c>
      <c r="O18" s="435">
        <v>16</v>
      </c>
    </row>
    <row r="19" spans="1:15" ht="24.95" customHeight="1">
      <c r="A19" s="437"/>
      <c r="B19" s="448">
        <v>9</v>
      </c>
      <c r="C19" s="1156"/>
      <c r="D19" s="1036"/>
      <c r="E19" s="1834" t="str">
        <f t="shared" si="0"/>
        <v>×</v>
      </c>
      <c r="F19" s="1834"/>
      <c r="G19" s="1835"/>
      <c r="H19" s="926" t="str">
        <f t="shared" si="1"/>
        <v/>
      </c>
      <c r="I19" s="927"/>
      <c r="J19" s="447">
        <f t="shared" si="3"/>
        <v>45901</v>
      </c>
      <c r="K19" s="447">
        <f t="shared" si="2"/>
        <v>45930</v>
      </c>
      <c r="O19" s="435">
        <v>17</v>
      </c>
    </row>
    <row r="20" spans="1:15" ht="24.95" customHeight="1">
      <c r="A20" s="437"/>
      <c r="B20" s="448">
        <v>10</v>
      </c>
      <c r="C20" s="1156"/>
      <c r="D20" s="1036"/>
      <c r="E20" s="1834" t="str">
        <f t="shared" si="0"/>
        <v>×</v>
      </c>
      <c r="F20" s="1834"/>
      <c r="G20" s="1835"/>
      <c r="H20" s="926" t="str">
        <f t="shared" si="1"/>
        <v/>
      </c>
      <c r="I20" s="927"/>
      <c r="J20" s="447">
        <f t="shared" si="3"/>
        <v>45931</v>
      </c>
      <c r="K20" s="447">
        <f t="shared" si="2"/>
        <v>45961</v>
      </c>
      <c r="O20" s="435">
        <v>18</v>
      </c>
    </row>
    <row r="21" spans="1:15" ht="24.95" customHeight="1">
      <c r="A21" s="437"/>
      <c r="B21" s="448">
        <v>11</v>
      </c>
      <c r="C21" s="1156"/>
      <c r="D21" s="1036"/>
      <c r="E21" s="1834" t="str">
        <f t="shared" si="0"/>
        <v>×</v>
      </c>
      <c r="F21" s="1834"/>
      <c r="G21" s="1835"/>
      <c r="H21" s="926" t="str">
        <f t="shared" si="1"/>
        <v/>
      </c>
      <c r="I21" s="927"/>
      <c r="J21" s="447">
        <f t="shared" si="3"/>
        <v>45962</v>
      </c>
      <c r="K21" s="447">
        <f t="shared" si="2"/>
        <v>45991</v>
      </c>
      <c r="O21" s="435">
        <v>19</v>
      </c>
    </row>
    <row r="22" spans="1:15" ht="24.95" customHeight="1">
      <c r="A22" s="437"/>
      <c r="B22" s="448">
        <v>12</v>
      </c>
      <c r="C22" s="1156"/>
      <c r="D22" s="1036"/>
      <c r="E22" s="1834" t="str">
        <f t="shared" si="0"/>
        <v>×</v>
      </c>
      <c r="F22" s="1834"/>
      <c r="G22" s="1835"/>
      <c r="H22" s="926" t="str">
        <f t="shared" si="1"/>
        <v/>
      </c>
      <c r="I22" s="927"/>
      <c r="J22" s="447">
        <f t="shared" si="3"/>
        <v>45992</v>
      </c>
      <c r="K22" s="447">
        <f t="shared" si="2"/>
        <v>46022</v>
      </c>
      <c r="O22" s="435">
        <v>20</v>
      </c>
    </row>
    <row r="23" spans="1:15" ht="24.95" customHeight="1">
      <c r="A23" s="437"/>
      <c r="B23" s="448">
        <v>1</v>
      </c>
      <c r="C23" s="1156"/>
      <c r="D23" s="1036"/>
      <c r="E23" s="1834" t="str">
        <f t="shared" si="0"/>
        <v>×</v>
      </c>
      <c r="F23" s="1834"/>
      <c r="G23" s="1835"/>
      <c r="H23" s="926" t="str">
        <f t="shared" si="1"/>
        <v/>
      </c>
      <c r="I23" s="927"/>
      <c r="J23" s="447">
        <f t="shared" si="3"/>
        <v>46023</v>
      </c>
      <c r="K23" s="447">
        <f t="shared" si="2"/>
        <v>46053</v>
      </c>
      <c r="O23" s="435">
        <v>21</v>
      </c>
    </row>
    <row r="24" spans="1:15" ht="24.95" customHeight="1">
      <c r="A24" s="437"/>
      <c r="B24" s="448">
        <v>2</v>
      </c>
      <c r="C24" s="1156"/>
      <c r="D24" s="1036"/>
      <c r="E24" s="1834" t="str">
        <f t="shared" si="0"/>
        <v>×</v>
      </c>
      <c r="F24" s="1834"/>
      <c r="G24" s="1835"/>
      <c r="H24" s="926" t="str">
        <f t="shared" si="1"/>
        <v/>
      </c>
      <c r="I24" s="927"/>
      <c r="J24" s="447">
        <f t="shared" si="3"/>
        <v>46054</v>
      </c>
      <c r="K24" s="447">
        <f t="shared" si="2"/>
        <v>46081</v>
      </c>
      <c r="O24" s="435">
        <v>22</v>
      </c>
    </row>
    <row r="25" spans="1:15" ht="30" customHeight="1">
      <c r="A25" s="437"/>
      <c r="B25" s="449">
        <v>3</v>
      </c>
      <c r="C25" s="1157"/>
      <c r="D25" s="1037"/>
      <c r="E25" s="1830" t="str">
        <f t="shared" si="0"/>
        <v>×</v>
      </c>
      <c r="F25" s="1830"/>
      <c r="G25" s="1831"/>
      <c r="H25" s="926" t="str">
        <f t="shared" si="1"/>
        <v/>
      </c>
      <c r="I25" s="927"/>
      <c r="J25" s="447">
        <f t="shared" si="3"/>
        <v>46082</v>
      </c>
      <c r="K25" s="447">
        <f t="shared" si="2"/>
        <v>46112</v>
      </c>
      <c r="O25" s="435">
        <v>23</v>
      </c>
    </row>
    <row r="26" spans="1:15" ht="30" customHeight="1">
      <c r="A26" s="437"/>
      <c r="B26" s="450" t="s">
        <v>12</v>
      </c>
      <c r="C26" s="929"/>
      <c r="D26" s="451">
        <f>SUM(D14:D25)</f>
        <v>0</v>
      </c>
      <c r="E26" s="1832">
        <f>COUNTIF(E14:G25,"○")</f>
        <v>0</v>
      </c>
      <c r="F26" s="1832"/>
      <c r="G26" s="1833"/>
      <c r="H26" s="437"/>
      <c r="I26" s="437"/>
      <c r="O26" s="435">
        <v>24</v>
      </c>
    </row>
    <row r="27" spans="1:15">
      <c r="O27" s="435">
        <v>25</v>
      </c>
    </row>
    <row r="28" spans="1:15">
      <c r="O28" s="435">
        <v>26</v>
      </c>
    </row>
    <row r="29" spans="1:15">
      <c r="O29" s="435">
        <v>27</v>
      </c>
    </row>
    <row r="30" spans="1:15">
      <c r="O30" s="435">
        <v>28</v>
      </c>
    </row>
    <row r="31" spans="1:15">
      <c r="O31" s="435">
        <v>29</v>
      </c>
    </row>
    <row r="32" spans="1:15">
      <c r="O32" s="435">
        <v>30</v>
      </c>
    </row>
    <row r="33" spans="15:15">
      <c r="O33" s="435">
        <v>31</v>
      </c>
    </row>
  </sheetData>
  <sheetProtection algorithmName="SHA-512" hashValue="qjZH9O7cITNRGKnV8LLKNFgCnWgbWLKE4kN5hmR3Y3Qa/Hidbg/NA7pP6FtRo9yq4sWdz4JOIcNOozmLtxlrZA==" saltValue="J/H83mGUJgpmRcPVrxndrg==" spinCount="100000" sheet="1" objects="1" scenarios="1"/>
  <mergeCells count="24">
    <mergeCell ref="E21:G21"/>
    <mergeCell ref="E20:G20"/>
    <mergeCell ref="B10:H10"/>
    <mergeCell ref="B11:H11"/>
    <mergeCell ref="B12:H12"/>
    <mergeCell ref="A1:D1"/>
    <mergeCell ref="E19:G19"/>
    <mergeCell ref="G3:H3"/>
    <mergeCell ref="G4:H4"/>
    <mergeCell ref="E13:G13"/>
    <mergeCell ref="E14:G14"/>
    <mergeCell ref="B6:H7"/>
    <mergeCell ref="B8:H8"/>
    <mergeCell ref="B9:H9"/>
    <mergeCell ref="E15:G15"/>
    <mergeCell ref="E16:G16"/>
    <mergeCell ref="E17:G17"/>
    <mergeCell ref="E1:H1"/>
    <mergeCell ref="E18:G18"/>
    <mergeCell ref="E25:G25"/>
    <mergeCell ref="E26:G26"/>
    <mergeCell ref="E24:G24"/>
    <mergeCell ref="E23:G23"/>
    <mergeCell ref="E22:G22"/>
  </mergeCells>
  <phoneticPr fontId="1"/>
  <conditionalFormatting sqref="D14:D25">
    <cfRule type="expression" dxfId="51" priority="1">
      <formula>$E14="×"</formula>
    </cfRule>
  </conditionalFormatting>
  <dataValidations count="3">
    <dataValidation type="list" showInputMessage="1" showErrorMessage="1" sqref="E3:E4" xr:uid="{00000000-0002-0000-0600-000000000000}">
      <formula1>$O$2:$O$33</formula1>
    </dataValidation>
    <dataValidation type="list" showInputMessage="1" showErrorMessage="1" sqref="C3:C4" xr:uid="{00000000-0002-0000-0600-000001000000}">
      <formula1>$N$2:$N$14</formula1>
    </dataValidation>
    <dataValidation type="list" allowBlank="1" showInputMessage="1" showErrorMessage="1" sqref="C14:C25" xr:uid="{00000000-0002-0000-0600-000002000000}">
      <formula1>$L$1:$L$5</formula1>
    </dataValidation>
  </dataValidations>
  <printOptions horizontalCentered="1"/>
  <pageMargins left="0" right="0" top="0.70866141732283472" bottom="0.59055118110236227" header="0" footer="0"/>
  <pageSetup paperSize="9" scale="107" orientation="portrait" r:id="rId1"/>
  <headerFooter alignWithMargins="0">
    <oddHeader xml:space="preserve">&amp;R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F0"/>
    <pageSetUpPr fitToPage="1"/>
  </sheetPr>
  <dimension ref="A1:BS75"/>
  <sheetViews>
    <sheetView view="pageBreakPreview" topLeftCell="B1" zoomScale="90" zoomScaleNormal="70" zoomScaleSheetLayoutView="90" workbookViewId="0">
      <selection activeCell="B1" sqref="B1"/>
    </sheetView>
  </sheetViews>
  <sheetFormatPr defaultColWidth="9" defaultRowHeight="12" outlineLevelCol="1"/>
  <cols>
    <col min="1" max="1" width="9" style="458" hidden="1" customWidth="1" outlineLevel="1"/>
    <col min="2" max="2" width="5" style="458" bestFit="1" customWidth="1" collapsed="1"/>
    <col min="3" max="3" width="5" style="458" customWidth="1"/>
    <col min="4" max="35" width="5.625" style="458" customWidth="1"/>
    <col min="36" max="36" width="8.25" style="458" customWidth="1"/>
    <col min="37" max="37" width="50.625" style="458" customWidth="1"/>
    <col min="38" max="38" width="4.625" style="474" hidden="1" customWidth="1" outlineLevel="1"/>
    <col min="39" max="70" width="4.625" style="458" hidden="1" customWidth="1" outlineLevel="1"/>
    <col min="71" max="71" width="9" style="458" collapsed="1"/>
    <col min="72" max="16384" width="9" style="458"/>
  </cols>
  <sheetData>
    <row r="1" spans="1:70" s="456" customFormat="1" ht="15" customHeight="1">
      <c r="A1" s="452"/>
      <c r="B1" s="483" t="s">
        <v>950</v>
      </c>
      <c r="C1" s="483"/>
      <c r="D1" s="453"/>
      <c r="E1" s="453"/>
      <c r="F1" s="432"/>
      <c r="G1" s="432"/>
      <c r="H1" s="432"/>
      <c r="I1" s="432"/>
      <c r="J1" s="432"/>
      <c r="K1" s="432"/>
      <c r="L1" s="432"/>
      <c r="M1" s="432"/>
      <c r="N1" s="432"/>
      <c r="O1" s="432"/>
      <c r="P1" s="432"/>
      <c r="Q1" s="432"/>
      <c r="R1" s="432"/>
      <c r="S1" s="432"/>
      <c r="T1" s="432"/>
      <c r="U1" s="432"/>
      <c r="V1" s="432"/>
      <c r="W1" s="432"/>
      <c r="X1" s="432"/>
      <c r="Y1" s="432"/>
      <c r="Z1" s="432"/>
      <c r="AA1" s="432"/>
      <c r="AB1" s="432"/>
      <c r="AC1" s="432"/>
      <c r="AD1" s="454"/>
      <c r="AE1" s="454"/>
      <c r="AF1" s="1862" t="str">
        <f>AL2&amp;"別紙5"&amp;AL3</f>
        <v>加-25_4月申-別紙5-幼_Ver.4.00</v>
      </c>
      <c r="AG1" s="1862"/>
      <c r="AH1" s="1862"/>
      <c r="AI1" s="1862"/>
      <c r="AJ1" s="1862"/>
      <c r="AK1" s="454"/>
      <c r="AL1" s="221" t="s">
        <v>942</v>
      </c>
      <c r="AM1" s="968" t="s">
        <v>107</v>
      </c>
      <c r="AN1" s="1080" t="s">
        <v>107</v>
      </c>
      <c r="AO1" s="182" t="s">
        <v>362</v>
      </c>
      <c r="AP1" s="455">
        <v>1</v>
      </c>
      <c r="AQ1" s="455">
        <v>2</v>
      </c>
      <c r="AR1" s="455">
        <v>3</v>
      </c>
      <c r="AS1" s="455">
        <v>4</v>
      </c>
      <c r="AT1" s="455">
        <v>5</v>
      </c>
      <c r="AU1" s="455">
        <v>6</v>
      </c>
      <c r="AV1" s="455">
        <v>7</v>
      </c>
    </row>
    <row r="2" spans="1:70" ht="15" customHeight="1">
      <c r="A2" s="459"/>
      <c r="B2" s="981" t="s">
        <v>982</v>
      </c>
      <c r="C2" s="981"/>
      <c r="D2" s="453"/>
      <c r="E2" s="453"/>
      <c r="F2" s="453"/>
      <c r="G2" s="453"/>
      <c r="H2" s="183"/>
      <c r="I2" s="183"/>
      <c r="J2" s="183"/>
      <c r="K2" s="183"/>
      <c r="L2" s="183"/>
      <c r="M2" s="183"/>
      <c r="N2" s="181"/>
      <c r="O2" s="181"/>
      <c r="P2" s="181"/>
      <c r="Q2" s="181"/>
      <c r="R2" s="181"/>
      <c r="S2" s="181"/>
      <c r="T2" s="181"/>
      <c r="U2" s="181"/>
      <c r="V2" s="181"/>
      <c r="W2" s="181"/>
      <c r="X2" s="181"/>
      <c r="Y2" s="181"/>
      <c r="Z2" s="181"/>
      <c r="AA2" s="181"/>
      <c r="AB2" s="457"/>
      <c r="AC2" s="457"/>
      <c r="AD2" s="460"/>
      <c r="AE2" s="457"/>
      <c r="AF2" s="457"/>
      <c r="AG2" s="457"/>
      <c r="AH2" s="457"/>
      <c r="AI2" s="457"/>
      <c r="AJ2" s="461"/>
      <c r="AK2" s="461"/>
      <c r="AL2" s="221" t="str">
        <f>【様式１】総括表・個票!$AJ$2</f>
        <v>加-25_4月申-</v>
      </c>
      <c r="AM2" s="924"/>
      <c r="AN2" s="924"/>
      <c r="AO2" s="182" t="s">
        <v>369</v>
      </c>
      <c r="AP2" s="141" t="s">
        <v>370</v>
      </c>
      <c r="AQ2" s="142" t="s">
        <v>371</v>
      </c>
      <c r="AR2" s="142" t="s">
        <v>372</v>
      </c>
      <c r="AS2" s="142" t="s">
        <v>373</v>
      </c>
      <c r="AT2" s="142" t="s">
        <v>374</v>
      </c>
      <c r="AU2" s="142" t="s">
        <v>375</v>
      </c>
      <c r="AV2" s="143" t="s">
        <v>376</v>
      </c>
      <c r="AW2" s="1086"/>
    </row>
    <row r="3" spans="1:70" ht="15" hidden="1" customHeight="1">
      <c r="A3" s="459"/>
      <c r="B3" s="308" t="s">
        <v>996</v>
      </c>
      <c r="C3" s="308"/>
      <c r="D3" s="308"/>
      <c r="E3" s="308"/>
      <c r="F3" s="308"/>
      <c r="G3" s="308"/>
      <c r="H3" s="308"/>
      <c r="I3" s="308"/>
      <c r="J3" s="308"/>
      <c r="K3" s="308"/>
      <c r="L3" s="308"/>
      <c r="M3" s="183"/>
      <c r="N3" s="181"/>
      <c r="O3" s="181"/>
      <c r="P3" s="181"/>
      <c r="Q3" s="181"/>
      <c r="R3" s="181"/>
      <c r="S3" s="181"/>
      <c r="T3" s="181"/>
      <c r="U3" s="181"/>
      <c r="V3" s="181"/>
      <c r="W3" s="181"/>
      <c r="X3" s="181"/>
      <c r="Y3" s="181"/>
      <c r="Z3" s="181"/>
      <c r="AA3" s="181"/>
      <c r="AB3" s="457"/>
      <c r="AC3" s="457"/>
      <c r="AD3" s="460"/>
      <c r="AE3" s="457"/>
      <c r="AF3" s="457"/>
      <c r="AG3" s="457"/>
      <c r="AH3" s="457"/>
      <c r="AI3" s="457"/>
      <c r="AJ3" s="461"/>
      <c r="AK3" s="461"/>
      <c r="AL3" s="221" t="str">
        <f>【様式１】総括表・個票!$AJ$3</f>
        <v>-幼_Ver.4.00</v>
      </c>
      <c r="AM3" s="924" t="s">
        <v>86</v>
      </c>
      <c r="AN3" s="925" t="s">
        <v>983</v>
      </c>
      <c r="AO3" s="462"/>
    </row>
    <row r="4" spans="1:70" ht="15" hidden="1" customHeight="1">
      <c r="A4" s="459"/>
      <c r="B4" s="308"/>
      <c r="C4" s="308" t="s">
        <v>995</v>
      </c>
      <c r="D4" s="308"/>
      <c r="E4" s="308"/>
      <c r="F4" s="308"/>
      <c r="G4" s="308"/>
      <c r="H4" s="308"/>
      <c r="I4" s="308"/>
      <c r="J4" s="308"/>
      <c r="K4" s="308"/>
      <c r="L4" s="308"/>
      <c r="M4" s="183"/>
      <c r="N4" s="181"/>
      <c r="O4" s="181"/>
      <c r="P4" s="181"/>
      <c r="Q4" s="181"/>
      <c r="R4" s="181"/>
      <c r="S4" s="181"/>
      <c r="T4" s="181"/>
      <c r="U4" s="181"/>
      <c r="V4" s="181"/>
      <c r="W4" s="181"/>
      <c r="X4" s="181"/>
      <c r="Y4" s="181"/>
      <c r="Z4" s="181"/>
      <c r="AA4" s="181"/>
      <c r="AB4" s="457"/>
      <c r="AC4" s="457"/>
      <c r="AD4" s="460"/>
      <c r="AE4" s="457"/>
      <c r="AF4" s="457"/>
      <c r="AG4" s="457"/>
      <c r="AH4" s="457"/>
      <c r="AI4" s="457"/>
      <c r="AJ4" s="461"/>
      <c r="AK4" s="461"/>
      <c r="AL4" s="150"/>
      <c r="AM4" s="839"/>
      <c r="AN4" s="925" t="s">
        <v>984</v>
      </c>
      <c r="AO4" s="489"/>
    </row>
    <row r="5" spans="1:70" ht="15" customHeight="1">
      <c r="A5" s="459"/>
      <c r="B5" s="308" t="s">
        <v>793</v>
      </c>
      <c r="C5" s="308"/>
      <c r="D5" s="308"/>
      <c r="E5" s="308"/>
      <c r="F5" s="308"/>
      <c r="G5" s="308"/>
      <c r="H5" s="308"/>
      <c r="I5" s="308"/>
      <c r="J5" s="308"/>
      <c r="K5" s="308"/>
      <c r="L5" s="308"/>
      <c r="M5" s="183"/>
      <c r="N5" s="181"/>
      <c r="O5" s="181"/>
      <c r="P5" s="181"/>
      <c r="Q5" s="181"/>
      <c r="R5" s="181"/>
      <c r="S5" s="181"/>
      <c r="T5" s="181"/>
      <c r="U5" s="181"/>
      <c r="V5" s="181"/>
      <c r="W5" s="181"/>
      <c r="X5" s="181"/>
      <c r="Y5" s="181"/>
      <c r="Z5" s="181"/>
      <c r="AA5" s="181"/>
      <c r="AB5" s="457"/>
      <c r="AC5" s="457"/>
      <c r="AD5" s="460"/>
      <c r="AE5" s="457"/>
      <c r="AF5" s="457"/>
      <c r="AG5" s="457"/>
      <c r="AH5" s="457"/>
      <c r="AI5" s="457"/>
      <c r="AJ5" s="461"/>
      <c r="AK5" s="461"/>
      <c r="AL5" s="150"/>
      <c r="AM5" s="839"/>
      <c r="AN5" s="925" t="s">
        <v>985</v>
      </c>
      <c r="AO5" s="489"/>
    </row>
    <row r="6" spans="1:70" ht="15" customHeight="1">
      <c r="A6" s="459"/>
      <c r="B6" s="308" t="s">
        <v>945</v>
      </c>
      <c r="C6" s="308"/>
      <c r="D6" s="308"/>
      <c r="E6" s="308"/>
      <c r="F6" s="308"/>
      <c r="G6" s="308"/>
      <c r="H6" s="308"/>
      <c r="I6" s="308"/>
      <c r="J6" s="308"/>
      <c r="K6" s="308"/>
      <c r="L6" s="308"/>
      <c r="M6" s="183"/>
      <c r="N6" s="181"/>
      <c r="O6" s="181"/>
      <c r="P6" s="181"/>
      <c r="Q6" s="181"/>
      <c r="R6" s="181"/>
      <c r="S6" s="181"/>
      <c r="T6" s="181"/>
      <c r="U6" s="181"/>
      <c r="V6" s="181"/>
      <c r="W6" s="181"/>
      <c r="X6" s="181"/>
      <c r="Y6" s="181"/>
      <c r="Z6" s="181"/>
      <c r="AA6" s="181"/>
      <c r="AB6" s="457"/>
      <c r="AC6" s="457"/>
      <c r="AD6" s="460"/>
      <c r="AE6" s="457"/>
      <c r="AF6" s="457"/>
      <c r="AG6" s="457"/>
      <c r="AH6" s="457"/>
      <c r="AI6" s="457"/>
      <c r="AJ6" s="461"/>
      <c r="AK6" s="461"/>
      <c r="AL6" s="458"/>
      <c r="AN6" s="455" t="s">
        <v>986</v>
      </c>
    </row>
    <row r="7" spans="1:70" ht="15" customHeight="1">
      <c r="A7" s="459"/>
      <c r="B7" s="308" t="s">
        <v>946</v>
      </c>
      <c r="C7" s="308"/>
      <c r="D7" s="308"/>
      <c r="E7" s="308"/>
      <c r="F7" s="308"/>
      <c r="G7" s="308"/>
      <c r="H7" s="308"/>
      <c r="I7" s="308"/>
      <c r="J7" s="308"/>
      <c r="K7" s="308"/>
      <c r="L7" s="308"/>
      <c r="M7" s="183"/>
      <c r="N7" s="181"/>
      <c r="O7" s="181"/>
      <c r="P7" s="181"/>
      <c r="Q7" s="181"/>
      <c r="R7" s="181"/>
      <c r="S7" s="181"/>
      <c r="T7" s="181"/>
      <c r="U7" s="181"/>
      <c r="V7" s="181"/>
      <c r="W7" s="181"/>
      <c r="X7" s="181"/>
      <c r="Y7" s="181"/>
      <c r="Z7" s="181"/>
      <c r="AA7" s="181"/>
      <c r="AB7" s="457"/>
      <c r="AC7" s="457"/>
      <c r="AD7" s="460"/>
      <c r="AE7" s="457"/>
      <c r="AF7" s="457"/>
      <c r="AG7" s="457"/>
      <c r="AH7" s="457"/>
      <c r="AI7" s="457"/>
      <c r="AJ7" s="461"/>
      <c r="AK7" s="461"/>
      <c r="AL7" s="1850" t="s">
        <v>944</v>
      </c>
      <c r="AM7" s="1850"/>
      <c r="AN7" s="1863">
        <f>【様式１】総括表・個票!AK2</f>
        <v>2025</v>
      </c>
      <c r="AO7" s="1863"/>
      <c r="AP7" s="1863"/>
      <c r="AQ7" s="1863"/>
    </row>
    <row r="8" spans="1:70" ht="15" customHeight="1" thickBot="1">
      <c r="A8" s="459"/>
      <c r="B8" s="1852" t="s">
        <v>794</v>
      </c>
      <c r="C8" s="1852"/>
      <c r="D8" s="1852"/>
      <c r="E8" s="1852"/>
      <c r="F8" s="463">
        <f>SUM(AJ11,AJ16,AJ21,AJ26,AJ31,AJ36,AJ41,AJ46,AJ51,AJ56,AJ61,AJ66)</f>
        <v>0</v>
      </c>
      <c r="G8" s="1865" t="s">
        <v>795</v>
      </c>
      <c r="H8" s="1865"/>
      <c r="I8" s="1865"/>
      <c r="J8" s="463">
        <f>SUM(AJ12,AJ17,AJ22,AJ27,AJ32,AJ37,AJ42,AJ47,AJ52,AJ57,AJ62,AJ67)</f>
        <v>0</v>
      </c>
      <c r="K8" s="1852" t="s">
        <v>948</v>
      </c>
      <c r="L8" s="1852"/>
      <c r="M8" s="1852"/>
      <c r="N8" s="1852"/>
      <c r="O8" s="463">
        <f>SUM(AJ13,AJ18,AJ23,AJ28,AJ33,AJ38,AJ43,AJ48,AJ53,AJ58,AJ63,AJ68)</f>
        <v>0</v>
      </c>
      <c r="P8" s="181"/>
      <c r="Q8" s="181"/>
      <c r="R8" s="181"/>
      <c r="S8" s="181"/>
      <c r="T8" s="181"/>
      <c r="U8" s="181"/>
      <c r="V8" s="181"/>
      <c r="W8" s="181"/>
      <c r="X8" s="181"/>
      <c r="Y8" s="181"/>
      <c r="Z8" s="181"/>
      <c r="AA8" s="181"/>
      <c r="AB8" s="457"/>
      <c r="AC8" s="457"/>
      <c r="AD8" s="460"/>
      <c r="AE8" s="457"/>
      <c r="AF8" s="457"/>
      <c r="AG8" s="457"/>
      <c r="AH8" s="457"/>
      <c r="AI8" s="457"/>
      <c r="AJ8" s="461"/>
      <c r="AK8" s="461"/>
      <c r="AL8" s="458"/>
    </row>
    <row r="9" spans="1:70" ht="12" customHeight="1">
      <c r="A9" s="1857">
        <f>IF($AN$7=0,#REF!,$AN$7)+IF(AND($B9&gt;=1,$B9&lt;=3),1,0)</f>
        <v>2025</v>
      </c>
      <c r="B9" s="1866">
        <v>4</v>
      </c>
      <c r="C9" s="1851" t="s">
        <v>947</v>
      </c>
      <c r="D9" s="484" t="s">
        <v>547</v>
      </c>
      <c r="E9" s="464">
        <v>1</v>
      </c>
      <c r="F9" s="465">
        <v>2</v>
      </c>
      <c r="G9" s="465">
        <v>3</v>
      </c>
      <c r="H9" s="465">
        <v>4</v>
      </c>
      <c r="I9" s="465">
        <v>5</v>
      </c>
      <c r="J9" s="465">
        <v>6</v>
      </c>
      <c r="K9" s="465">
        <v>7</v>
      </c>
      <c r="L9" s="465">
        <v>8</v>
      </c>
      <c r="M9" s="465">
        <v>9</v>
      </c>
      <c r="N9" s="465">
        <v>10</v>
      </c>
      <c r="O9" s="465">
        <v>11</v>
      </c>
      <c r="P9" s="465">
        <v>12</v>
      </c>
      <c r="Q9" s="465">
        <v>13</v>
      </c>
      <c r="R9" s="465">
        <v>14</v>
      </c>
      <c r="S9" s="465">
        <v>15</v>
      </c>
      <c r="T9" s="465">
        <v>16</v>
      </c>
      <c r="U9" s="465">
        <v>17</v>
      </c>
      <c r="V9" s="465">
        <v>18</v>
      </c>
      <c r="W9" s="465">
        <v>19</v>
      </c>
      <c r="X9" s="465">
        <v>20</v>
      </c>
      <c r="Y9" s="465">
        <v>21</v>
      </c>
      <c r="Z9" s="465">
        <v>22</v>
      </c>
      <c r="AA9" s="465">
        <v>23</v>
      </c>
      <c r="AB9" s="465">
        <v>24</v>
      </c>
      <c r="AC9" s="465">
        <v>25</v>
      </c>
      <c r="AD9" s="465">
        <v>26</v>
      </c>
      <c r="AE9" s="465">
        <v>27</v>
      </c>
      <c r="AF9" s="465">
        <v>28</v>
      </c>
      <c r="AG9" s="465">
        <f>IF(MONTH(DATE($A9,B9,AF9+1))=B9,AF9+1,"")</f>
        <v>29</v>
      </c>
      <c r="AH9" s="465">
        <f>IF(B9&lt;&gt;2,IF(AG9&lt;&gt;"",AG9+1,""),"")</f>
        <v>30</v>
      </c>
      <c r="AI9" s="466" t="str">
        <f>IF(OR(B9=1,B9=3,B9=5,B9=7,B9=8,B9=10,B9=12),AH9+1,"")</f>
        <v/>
      </c>
      <c r="AJ9" s="1864" t="s">
        <v>19</v>
      </c>
      <c r="AK9" s="467"/>
      <c r="AL9" s="1854" t="s">
        <v>382</v>
      </c>
      <c r="AM9" s="1854"/>
      <c r="AN9" s="468">
        <v>1</v>
      </c>
      <c r="AO9" s="468">
        <v>2</v>
      </c>
      <c r="AP9" s="468">
        <v>3</v>
      </c>
      <c r="AQ9" s="468">
        <v>4</v>
      </c>
      <c r="AR9" s="468">
        <v>5</v>
      </c>
      <c r="AS9" s="468">
        <v>6</v>
      </c>
      <c r="AT9" s="468">
        <v>7</v>
      </c>
      <c r="AU9" s="468">
        <v>8</v>
      </c>
      <c r="AV9" s="468">
        <v>9</v>
      </c>
      <c r="AW9" s="468">
        <v>10</v>
      </c>
      <c r="AX9" s="468">
        <v>11</v>
      </c>
      <c r="AY9" s="468">
        <v>12</v>
      </c>
      <c r="AZ9" s="468">
        <v>13</v>
      </c>
      <c r="BA9" s="468">
        <v>14</v>
      </c>
      <c r="BB9" s="468">
        <v>15</v>
      </c>
      <c r="BC9" s="468">
        <v>16</v>
      </c>
      <c r="BD9" s="468">
        <v>17</v>
      </c>
      <c r="BE9" s="468">
        <v>18</v>
      </c>
      <c r="BF9" s="468">
        <v>19</v>
      </c>
      <c r="BG9" s="468">
        <v>20</v>
      </c>
      <c r="BH9" s="468">
        <v>21</v>
      </c>
      <c r="BI9" s="468">
        <v>22</v>
      </c>
      <c r="BJ9" s="468">
        <v>23</v>
      </c>
      <c r="BK9" s="468">
        <v>24</v>
      </c>
      <c r="BL9" s="468">
        <v>25</v>
      </c>
      <c r="BM9" s="468">
        <v>26</v>
      </c>
      <c r="BN9" s="468">
        <v>27</v>
      </c>
      <c r="BO9" s="468">
        <v>28</v>
      </c>
      <c r="BP9" s="468">
        <v>29</v>
      </c>
      <c r="BQ9" s="468">
        <v>30</v>
      </c>
      <c r="BR9" s="468">
        <v>31</v>
      </c>
    </row>
    <row r="10" spans="1:70" ht="12" customHeight="1">
      <c r="A10" s="1857"/>
      <c r="B10" s="1859"/>
      <c r="C10" s="1847"/>
      <c r="D10" s="485" t="s">
        <v>383</v>
      </c>
      <c r="E10" s="978" t="str">
        <f t="shared" ref="E10:AI10" si="0">IF(E9&lt;&gt;"",HLOOKUP(WEEKDAY(DATE($A9,$B9,E9)),$AP$1:$AV$2,2,FALSE),"")</f>
        <v>（火）</v>
      </c>
      <c r="F10" s="980" t="str">
        <f t="shared" si="0"/>
        <v>（水）</v>
      </c>
      <c r="G10" s="980" t="str">
        <f t="shared" si="0"/>
        <v>（木）</v>
      </c>
      <c r="H10" s="980" t="str">
        <f t="shared" si="0"/>
        <v>（金）</v>
      </c>
      <c r="I10" s="980" t="str">
        <f t="shared" si="0"/>
        <v>（土）</v>
      </c>
      <c r="J10" s="980" t="str">
        <f t="shared" si="0"/>
        <v>（日）</v>
      </c>
      <c r="K10" s="980" t="str">
        <f t="shared" si="0"/>
        <v>（月）</v>
      </c>
      <c r="L10" s="980" t="str">
        <f t="shared" si="0"/>
        <v>（火）</v>
      </c>
      <c r="M10" s="980" t="str">
        <f t="shared" si="0"/>
        <v>（水）</v>
      </c>
      <c r="N10" s="980" t="str">
        <f t="shared" si="0"/>
        <v>（木）</v>
      </c>
      <c r="O10" s="980" t="str">
        <f t="shared" si="0"/>
        <v>（金）</v>
      </c>
      <c r="P10" s="980" t="str">
        <f t="shared" si="0"/>
        <v>（土）</v>
      </c>
      <c r="Q10" s="980" t="str">
        <f t="shared" si="0"/>
        <v>（日）</v>
      </c>
      <c r="R10" s="980" t="str">
        <f t="shared" si="0"/>
        <v>（月）</v>
      </c>
      <c r="S10" s="980" t="str">
        <f t="shared" si="0"/>
        <v>（火）</v>
      </c>
      <c r="T10" s="980" t="str">
        <f t="shared" si="0"/>
        <v>（水）</v>
      </c>
      <c r="U10" s="980" t="str">
        <f t="shared" si="0"/>
        <v>（木）</v>
      </c>
      <c r="V10" s="980" t="str">
        <f t="shared" si="0"/>
        <v>（金）</v>
      </c>
      <c r="W10" s="980" t="str">
        <f t="shared" si="0"/>
        <v>（土）</v>
      </c>
      <c r="X10" s="980" t="str">
        <f t="shared" si="0"/>
        <v>（日）</v>
      </c>
      <c r="Y10" s="980" t="str">
        <f t="shared" si="0"/>
        <v>（月）</v>
      </c>
      <c r="Z10" s="980" t="str">
        <f t="shared" si="0"/>
        <v>（火）</v>
      </c>
      <c r="AA10" s="980" t="str">
        <f t="shared" si="0"/>
        <v>（水）</v>
      </c>
      <c r="AB10" s="980" t="str">
        <f t="shared" si="0"/>
        <v>（木）</v>
      </c>
      <c r="AC10" s="980" t="str">
        <f t="shared" si="0"/>
        <v>（金）</v>
      </c>
      <c r="AD10" s="980" t="str">
        <f t="shared" si="0"/>
        <v>（土）</v>
      </c>
      <c r="AE10" s="980" t="str">
        <f t="shared" si="0"/>
        <v>（日）</v>
      </c>
      <c r="AF10" s="980" t="str">
        <f t="shared" si="0"/>
        <v>（月）</v>
      </c>
      <c r="AG10" s="980" t="str">
        <f t="shared" si="0"/>
        <v>（火）</v>
      </c>
      <c r="AH10" s="980" t="str">
        <f t="shared" si="0"/>
        <v>（水）</v>
      </c>
      <c r="AI10" s="979" t="str">
        <f t="shared" si="0"/>
        <v/>
      </c>
      <c r="AJ10" s="1856"/>
      <c r="AK10" s="467"/>
      <c r="AL10" s="1854" t="s">
        <v>410</v>
      </c>
      <c r="AM10" s="1854"/>
      <c r="AN10" s="468" t="str">
        <f>IF(E9&lt;&gt;"",IF(OR(WEEKDAY(DATE($A9,$B9,E9),2)&gt;6,COUNTIF('休日情報(要更新)'!$A$5:$J$32,DATE($A9,$B9,E9)) &gt;=1),"○",IF(WEEKDAY(DATE($A9,$B9,E9),2)=6,"●","")),"×")</f>
        <v/>
      </c>
      <c r="AO10" s="468" t="str">
        <f>IF(F9&lt;&gt;"",IF(OR(WEEKDAY(DATE($A9,$B9,F9),2)&gt;6,COUNTIF('休日情報(要更新)'!$A$5:$J$32,DATE($A9,$B9,F9)) &gt;=1),"○",IF(WEEKDAY(DATE($A9,$B9,F9),2)=6,"●","")),"×")</f>
        <v/>
      </c>
      <c r="AP10" s="468" t="str">
        <f>IF(G9&lt;&gt;"",IF(OR(WEEKDAY(DATE($A9,$B9,G9),2)&gt;6,COUNTIF('休日情報(要更新)'!$A$5:$J$32,DATE($A9,$B9,G9)) &gt;=1),"○",IF(WEEKDAY(DATE($A9,$B9,G9),2)=6,"●","")),"×")</f>
        <v/>
      </c>
      <c r="AQ10" s="468" t="str">
        <f>IF(H9&lt;&gt;"",IF(OR(WEEKDAY(DATE($A9,$B9,H9),2)&gt;6,COUNTIF('休日情報(要更新)'!$A$5:$J$32,DATE($A9,$B9,H9)) &gt;=1),"○",IF(WEEKDAY(DATE($A9,$B9,H9),2)=6,"●","")),"×")</f>
        <v/>
      </c>
      <c r="AR10" s="468" t="str">
        <f>IF(I9&lt;&gt;"",IF(OR(WEEKDAY(DATE($A9,$B9,I9),2)&gt;6,COUNTIF('休日情報(要更新)'!$A$5:$J$32,DATE($A9,$B9,I9)) &gt;=1),"○",IF(WEEKDAY(DATE($A9,$B9,I9),2)=6,"●","")),"×")</f>
        <v>●</v>
      </c>
      <c r="AS10" s="468" t="str">
        <f>IF(J9&lt;&gt;"",IF(OR(WEEKDAY(DATE($A9,$B9,J9),2)&gt;6,COUNTIF('休日情報(要更新)'!$A$5:$J$32,DATE($A9,$B9,J9)) &gt;=1),"○",IF(WEEKDAY(DATE($A9,$B9,J9),2)=6,"●","")),"×")</f>
        <v>○</v>
      </c>
      <c r="AT10" s="468" t="str">
        <f>IF(K9&lt;&gt;"",IF(OR(WEEKDAY(DATE($A9,$B9,K9),2)&gt;6,COUNTIF('休日情報(要更新)'!$A$5:$J$32,DATE($A9,$B9,K9)) &gt;=1),"○",IF(WEEKDAY(DATE($A9,$B9,K9),2)=6,"●","")),"×")</f>
        <v/>
      </c>
      <c r="AU10" s="468" t="str">
        <f>IF(L9&lt;&gt;"",IF(OR(WEEKDAY(DATE($A9,$B9,L9),2)&gt;6,COUNTIF('休日情報(要更新)'!$A$5:$J$32,DATE($A9,$B9,L9)) &gt;=1),"○",IF(WEEKDAY(DATE($A9,$B9,L9),2)=6,"●","")),"×")</f>
        <v/>
      </c>
      <c r="AV10" s="468" t="str">
        <f>IF(M9&lt;&gt;"",IF(OR(WEEKDAY(DATE($A9,$B9,M9),2)&gt;6,COUNTIF('休日情報(要更新)'!$A$5:$J$32,DATE($A9,$B9,M9)) &gt;=1),"○",IF(WEEKDAY(DATE($A9,$B9,M9),2)=6,"●","")),"×")</f>
        <v/>
      </c>
      <c r="AW10" s="468" t="str">
        <f>IF(N9&lt;&gt;"",IF(OR(WEEKDAY(DATE($A9,$B9,N9),2)&gt;6,COUNTIF('休日情報(要更新)'!$A$5:$J$32,DATE($A9,$B9,N9)) &gt;=1),"○",IF(WEEKDAY(DATE($A9,$B9,N9),2)=6,"●","")),"×")</f>
        <v/>
      </c>
      <c r="AX10" s="468" t="str">
        <f>IF(O9&lt;&gt;"",IF(OR(WEEKDAY(DATE($A9,$B9,O9),2)&gt;6,COUNTIF('休日情報(要更新)'!$A$5:$J$32,DATE($A9,$B9,O9)) &gt;=1),"○",IF(WEEKDAY(DATE($A9,$B9,O9),2)=6,"●","")),"×")</f>
        <v/>
      </c>
      <c r="AY10" s="468" t="str">
        <f>IF(P9&lt;&gt;"",IF(OR(WEEKDAY(DATE($A9,$B9,P9),2)&gt;6,COUNTIF('休日情報(要更新)'!$A$5:$J$32,DATE($A9,$B9,P9)) &gt;=1),"○",IF(WEEKDAY(DATE($A9,$B9,P9),2)=6,"●","")),"×")</f>
        <v>●</v>
      </c>
      <c r="AZ10" s="468" t="str">
        <f>IF(Q9&lt;&gt;"",IF(OR(WEEKDAY(DATE($A9,$B9,Q9),2)&gt;6,COUNTIF('休日情報(要更新)'!$A$5:$J$32,DATE($A9,$B9,Q9)) &gt;=1),"○",IF(WEEKDAY(DATE($A9,$B9,Q9),2)=6,"●","")),"×")</f>
        <v>○</v>
      </c>
      <c r="BA10" s="468" t="str">
        <f>IF(R9&lt;&gt;"",IF(OR(WEEKDAY(DATE($A9,$B9,R9),2)&gt;6,COUNTIF('休日情報(要更新)'!$A$5:$J$32,DATE($A9,$B9,R9)) &gt;=1),"○",IF(WEEKDAY(DATE($A9,$B9,R9),2)=6,"●","")),"×")</f>
        <v/>
      </c>
      <c r="BB10" s="468" t="str">
        <f>IF(S9&lt;&gt;"",IF(OR(WEEKDAY(DATE($A9,$B9,S9),2)&gt;6,COUNTIF('休日情報(要更新)'!$A$5:$J$32,DATE($A9,$B9,S9)) &gt;=1),"○",IF(WEEKDAY(DATE($A9,$B9,S9),2)=6,"●","")),"×")</f>
        <v/>
      </c>
      <c r="BC10" s="468" t="str">
        <f>IF(T9&lt;&gt;"",IF(OR(WEEKDAY(DATE($A9,$B9,T9),2)&gt;6,COUNTIF('休日情報(要更新)'!$A$5:$J$32,DATE($A9,$B9,T9)) &gt;=1),"○",IF(WEEKDAY(DATE($A9,$B9,T9),2)=6,"●","")),"×")</f>
        <v/>
      </c>
      <c r="BD10" s="468" t="str">
        <f>IF(U9&lt;&gt;"",IF(OR(WEEKDAY(DATE($A9,$B9,U9),2)&gt;6,COUNTIF('休日情報(要更新)'!$A$5:$J$32,DATE($A9,$B9,U9)) &gt;=1),"○",IF(WEEKDAY(DATE($A9,$B9,U9),2)=6,"●","")),"×")</f>
        <v/>
      </c>
      <c r="BE10" s="468" t="str">
        <f>IF(V9&lt;&gt;"",IF(OR(WEEKDAY(DATE($A9,$B9,V9),2)&gt;6,COUNTIF('休日情報(要更新)'!$A$5:$J$32,DATE($A9,$B9,V9)) &gt;=1),"○",IF(WEEKDAY(DATE($A9,$B9,V9),2)=6,"●","")),"×")</f>
        <v/>
      </c>
      <c r="BF10" s="468" t="str">
        <f>IF(W9&lt;&gt;"",IF(OR(WEEKDAY(DATE($A9,$B9,W9),2)&gt;6,COUNTIF('休日情報(要更新)'!$A$5:$J$32,DATE($A9,$B9,W9)) &gt;=1),"○",IF(WEEKDAY(DATE($A9,$B9,W9),2)=6,"●","")),"×")</f>
        <v>●</v>
      </c>
      <c r="BG10" s="468" t="str">
        <f>IF(X9&lt;&gt;"",IF(OR(WEEKDAY(DATE($A9,$B9,X9),2)&gt;6,COUNTIF('休日情報(要更新)'!$A$5:$J$32,DATE($A9,$B9,X9)) &gt;=1),"○",IF(WEEKDAY(DATE($A9,$B9,X9),2)=6,"●","")),"×")</f>
        <v>○</v>
      </c>
      <c r="BH10" s="468" t="str">
        <f>IF(Y9&lt;&gt;"",IF(OR(WEEKDAY(DATE($A9,$B9,Y9),2)&gt;6,COUNTIF('休日情報(要更新)'!$A$5:$J$32,DATE($A9,$B9,Y9)) &gt;=1),"○",IF(WEEKDAY(DATE($A9,$B9,Y9),2)=6,"●","")),"×")</f>
        <v/>
      </c>
      <c r="BI10" s="468" t="str">
        <f>IF(Z9&lt;&gt;"",IF(OR(WEEKDAY(DATE($A9,$B9,Z9),2)&gt;6,COUNTIF('休日情報(要更新)'!$A$5:$J$32,DATE($A9,$B9,Z9)) &gt;=1),"○",IF(WEEKDAY(DATE($A9,$B9,Z9),2)=6,"●","")),"×")</f>
        <v/>
      </c>
      <c r="BJ10" s="468" t="str">
        <f>IF(AA9&lt;&gt;"",IF(OR(WEEKDAY(DATE($A9,$B9,AA9),2)&gt;6,COUNTIF('休日情報(要更新)'!$A$5:$J$32,DATE($A9,$B9,AA9)) &gt;=1),"○",IF(WEEKDAY(DATE($A9,$B9,AA9),2)=6,"●","")),"×")</f>
        <v/>
      </c>
      <c r="BK10" s="468" t="str">
        <f>IF(AB9&lt;&gt;"",IF(OR(WEEKDAY(DATE($A9,$B9,AB9),2)&gt;6,COUNTIF('休日情報(要更新)'!$A$5:$J$32,DATE($A9,$B9,AB9)) &gt;=1),"○",IF(WEEKDAY(DATE($A9,$B9,AB9),2)=6,"●","")),"×")</f>
        <v/>
      </c>
      <c r="BL10" s="468" t="str">
        <f>IF(AC9&lt;&gt;"",IF(OR(WEEKDAY(DATE($A9,$B9,AC9),2)&gt;6,COUNTIF('休日情報(要更新)'!$A$5:$J$32,DATE($A9,$B9,AC9)) &gt;=1),"○",IF(WEEKDAY(DATE($A9,$B9,AC9),2)=6,"●","")),"×")</f>
        <v/>
      </c>
      <c r="BM10" s="468" t="str">
        <f>IF(AD9&lt;&gt;"",IF(OR(WEEKDAY(DATE($A9,$B9,AD9),2)&gt;6,COUNTIF('休日情報(要更新)'!$A$5:$J$32,DATE($A9,$B9,AD9)) &gt;=1),"○",IF(WEEKDAY(DATE($A9,$B9,AD9),2)=6,"●","")),"×")</f>
        <v>●</v>
      </c>
      <c r="BN10" s="468" t="str">
        <f>IF(AE9&lt;&gt;"",IF(OR(WEEKDAY(DATE($A9,$B9,AE9),2)&gt;6,COUNTIF('休日情報(要更新)'!$A$5:$J$32,DATE($A9,$B9,AE9)) &gt;=1),"○",IF(WEEKDAY(DATE($A9,$B9,AE9),2)=6,"●","")),"×")</f>
        <v>○</v>
      </c>
      <c r="BO10" s="468" t="str">
        <f>IF(AF9&lt;&gt;"",IF(OR(WEEKDAY(DATE($A9,$B9,AF9),2)&gt;6,COUNTIF('休日情報(要更新)'!$A$5:$J$32,DATE($A9,$B9,AF9)) &gt;=1),"○",IF(WEEKDAY(DATE($A9,$B9,AF9),2)=6,"●","")),"×")</f>
        <v/>
      </c>
      <c r="BP10" s="468" t="str">
        <f>IF(AG9&lt;&gt;"",IF(OR(WEEKDAY(DATE($A9,$B9,AG9),2)&gt;6,COUNTIF('休日情報(要更新)'!$A$5:$J$32,DATE($A9,$B9,AG9)) &gt;=1),"○",IF(WEEKDAY(DATE($A9,$B9,AG9),2)=6,"●","")),"×")</f>
        <v>○</v>
      </c>
      <c r="BQ10" s="468" t="str">
        <f>IF(AH9&lt;&gt;"",IF(OR(WEEKDAY(DATE($A9,$B9,AH9),2)&gt;6,COUNTIF('休日情報(要更新)'!$A$5:$J$32,DATE($A9,$B9,AH9)) &gt;=1),"○",IF(WEEKDAY(DATE($A9,$B9,AH9),2)=6,"●","")),"×")</f>
        <v/>
      </c>
      <c r="BR10" s="468" t="str">
        <f>IF(AI9&lt;&gt;"",IF(OR(WEEKDAY(DATE($A9,$B9,AI9),2)&gt;6,COUNTIF('休日情報(要更新)'!$A$5:$J$32,DATE($A9,$B9,AI9)) &gt;=1),"○",IF(WEEKDAY(DATE($A9,$B9,AI9),2)=6,"●","")),"×")</f>
        <v>×</v>
      </c>
    </row>
    <row r="11" spans="1:70" ht="12" customHeight="1">
      <c r="A11" s="1857"/>
      <c r="B11" s="1859"/>
      <c r="C11" s="1848"/>
      <c r="D11" s="486" t="s">
        <v>557</v>
      </c>
      <c r="E11" s="469"/>
      <c r="F11" s="470"/>
      <c r="G11" s="470"/>
      <c r="H11" s="470"/>
      <c r="I11" s="470"/>
      <c r="J11" s="470"/>
      <c r="K11" s="470"/>
      <c r="L11" s="470"/>
      <c r="M11" s="470"/>
      <c r="N11" s="470"/>
      <c r="O11" s="470"/>
      <c r="P11" s="470"/>
      <c r="Q11" s="470"/>
      <c r="R11" s="470"/>
      <c r="S11" s="470"/>
      <c r="T11" s="470"/>
      <c r="U11" s="470"/>
      <c r="V11" s="470"/>
      <c r="W11" s="470"/>
      <c r="X11" s="470"/>
      <c r="Y11" s="470"/>
      <c r="Z11" s="470"/>
      <c r="AA11" s="470"/>
      <c r="AB11" s="470"/>
      <c r="AC11" s="470"/>
      <c r="AD11" s="470"/>
      <c r="AE11" s="470"/>
      <c r="AF11" s="470"/>
      <c r="AG11" s="470"/>
      <c r="AH11" s="470"/>
      <c r="AI11" s="471"/>
      <c r="AJ11" s="472">
        <f>COUNTIFS(AN10:BR10,"",E11:AI11,"○")</f>
        <v>0</v>
      </c>
      <c r="AK11" s="473"/>
    </row>
    <row r="12" spans="1:70" ht="12" customHeight="1">
      <c r="A12" s="1857"/>
      <c r="B12" s="1859"/>
      <c r="C12" s="1849"/>
      <c r="D12" s="832" t="s">
        <v>558</v>
      </c>
      <c r="E12" s="833"/>
      <c r="F12" s="830"/>
      <c r="G12" s="830"/>
      <c r="H12" s="830"/>
      <c r="I12" s="830"/>
      <c r="J12" s="830"/>
      <c r="K12" s="830"/>
      <c r="L12" s="830"/>
      <c r="M12" s="830"/>
      <c r="N12" s="830"/>
      <c r="O12" s="830"/>
      <c r="P12" s="830"/>
      <c r="Q12" s="830"/>
      <c r="R12" s="830"/>
      <c r="S12" s="830"/>
      <c r="T12" s="830"/>
      <c r="U12" s="830"/>
      <c r="V12" s="830"/>
      <c r="W12" s="830"/>
      <c r="X12" s="830"/>
      <c r="Y12" s="830"/>
      <c r="Z12" s="830"/>
      <c r="AA12" s="830"/>
      <c r="AB12" s="830"/>
      <c r="AC12" s="830"/>
      <c r="AD12" s="830"/>
      <c r="AE12" s="830"/>
      <c r="AF12" s="830"/>
      <c r="AG12" s="830"/>
      <c r="AH12" s="830"/>
      <c r="AI12" s="831"/>
      <c r="AJ12" s="834">
        <f>COUNTIFS(E11:AI11,"○",AN10:BR10,"",E12:AI12,"○")</f>
        <v>0</v>
      </c>
    </row>
    <row r="13" spans="1:70" ht="14.25" customHeight="1">
      <c r="A13" s="967"/>
      <c r="B13" s="1860"/>
      <c r="C13" s="1846"/>
      <c r="D13" s="487" t="s">
        <v>943</v>
      </c>
      <c r="E13" s="475"/>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6"/>
      <c r="AG13" s="476"/>
      <c r="AH13" s="476"/>
      <c r="AI13" s="477"/>
      <c r="AJ13" s="478">
        <f>COUNTIFS(E11:AI11,"○",AN10:BR10,"",E12:AI12,"○",E13:AI13,"○")</f>
        <v>0</v>
      </c>
    </row>
    <row r="14" spans="1:70" ht="12.75" customHeight="1">
      <c r="A14" s="1857">
        <f>IF($AN$7=0,#REF!,$AN$7)+IF(AND($B14&gt;=1,$B14&lt;=3),1,0)</f>
        <v>2025</v>
      </c>
      <c r="B14" s="1859">
        <v>5</v>
      </c>
      <c r="C14" s="1846" t="s">
        <v>947</v>
      </c>
      <c r="D14" s="835" t="s">
        <v>547</v>
      </c>
      <c r="E14" s="836">
        <v>1</v>
      </c>
      <c r="F14" s="837">
        <v>2</v>
      </c>
      <c r="G14" s="837">
        <v>3</v>
      </c>
      <c r="H14" s="837">
        <v>4</v>
      </c>
      <c r="I14" s="837">
        <v>5</v>
      </c>
      <c r="J14" s="837">
        <v>6</v>
      </c>
      <c r="K14" s="837">
        <v>7</v>
      </c>
      <c r="L14" s="837">
        <v>8</v>
      </c>
      <c r="M14" s="837">
        <v>9</v>
      </c>
      <c r="N14" s="837">
        <v>10</v>
      </c>
      <c r="O14" s="837">
        <v>11</v>
      </c>
      <c r="P14" s="837">
        <v>12</v>
      </c>
      <c r="Q14" s="837">
        <v>13</v>
      </c>
      <c r="R14" s="837">
        <v>14</v>
      </c>
      <c r="S14" s="837">
        <v>15</v>
      </c>
      <c r="T14" s="837">
        <v>16</v>
      </c>
      <c r="U14" s="837">
        <v>17</v>
      </c>
      <c r="V14" s="837">
        <v>18</v>
      </c>
      <c r="W14" s="837">
        <v>19</v>
      </c>
      <c r="X14" s="837">
        <v>20</v>
      </c>
      <c r="Y14" s="837">
        <v>21</v>
      </c>
      <c r="Z14" s="837">
        <v>22</v>
      </c>
      <c r="AA14" s="837">
        <v>23</v>
      </c>
      <c r="AB14" s="837">
        <v>24</v>
      </c>
      <c r="AC14" s="837">
        <v>25</v>
      </c>
      <c r="AD14" s="837">
        <v>26</v>
      </c>
      <c r="AE14" s="837">
        <v>27</v>
      </c>
      <c r="AF14" s="837">
        <v>28</v>
      </c>
      <c r="AG14" s="837">
        <f>IF(MONTH(DATE($A14,B14,AF14+1))=B14,AF14+1,"")</f>
        <v>29</v>
      </c>
      <c r="AH14" s="837">
        <f t="shared" ref="AH14" si="1">IF(B14&lt;&gt;2,IF(AG14&lt;&gt;"",AG14+1,""),"")</f>
        <v>30</v>
      </c>
      <c r="AI14" s="838">
        <f t="shared" ref="AI14" si="2">IF(OR(B14=1,B14=3,B14=5,B14=7,B14=8,B14=10,B14=12),AH14+1,"")</f>
        <v>31</v>
      </c>
      <c r="AJ14" s="1855" t="s">
        <v>19</v>
      </c>
      <c r="AK14" s="467"/>
      <c r="AL14" s="1854" t="s">
        <v>382</v>
      </c>
      <c r="AM14" s="1854"/>
      <c r="AN14" s="468">
        <v>1</v>
      </c>
      <c r="AO14" s="468">
        <v>2</v>
      </c>
      <c r="AP14" s="468">
        <v>3</v>
      </c>
      <c r="AQ14" s="468">
        <v>4</v>
      </c>
      <c r="AR14" s="468">
        <v>5</v>
      </c>
      <c r="AS14" s="468">
        <v>6</v>
      </c>
      <c r="AT14" s="468">
        <v>7</v>
      </c>
      <c r="AU14" s="468">
        <v>8</v>
      </c>
      <c r="AV14" s="468">
        <v>9</v>
      </c>
      <c r="AW14" s="468">
        <v>10</v>
      </c>
      <c r="AX14" s="468">
        <v>11</v>
      </c>
      <c r="AY14" s="468">
        <v>12</v>
      </c>
      <c r="AZ14" s="468">
        <v>13</v>
      </c>
      <c r="BA14" s="468">
        <v>14</v>
      </c>
      <c r="BB14" s="468">
        <v>15</v>
      </c>
      <c r="BC14" s="468">
        <v>16</v>
      </c>
      <c r="BD14" s="468">
        <v>17</v>
      </c>
      <c r="BE14" s="468">
        <v>18</v>
      </c>
      <c r="BF14" s="468">
        <v>19</v>
      </c>
      <c r="BG14" s="468">
        <v>20</v>
      </c>
      <c r="BH14" s="468">
        <v>21</v>
      </c>
      <c r="BI14" s="468">
        <v>22</v>
      </c>
      <c r="BJ14" s="468">
        <v>23</v>
      </c>
      <c r="BK14" s="468">
        <v>24</v>
      </c>
      <c r="BL14" s="468">
        <v>25</v>
      </c>
      <c r="BM14" s="468">
        <v>26</v>
      </c>
      <c r="BN14" s="468">
        <v>27</v>
      </c>
      <c r="BO14" s="468">
        <v>28</v>
      </c>
      <c r="BP14" s="468">
        <v>29</v>
      </c>
      <c r="BQ14" s="468">
        <v>30</v>
      </c>
      <c r="BR14" s="468">
        <v>31</v>
      </c>
    </row>
    <row r="15" spans="1:70" ht="12" customHeight="1">
      <c r="A15" s="1857"/>
      <c r="B15" s="1859"/>
      <c r="C15" s="1847"/>
      <c r="D15" s="485" t="s">
        <v>383</v>
      </c>
      <c r="E15" s="978" t="str">
        <f t="shared" ref="E15:AI15" si="3">IF(E14&lt;&gt;"",HLOOKUP(WEEKDAY(DATE($A14,$B14,E14)),$AP$1:$AV$2,2,FALSE),"")</f>
        <v>（木）</v>
      </c>
      <c r="F15" s="980" t="str">
        <f t="shared" si="3"/>
        <v>（金）</v>
      </c>
      <c r="G15" s="980" t="str">
        <f t="shared" si="3"/>
        <v>（土）</v>
      </c>
      <c r="H15" s="980" t="str">
        <f t="shared" si="3"/>
        <v>（日）</v>
      </c>
      <c r="I15" s="980" t="str">
        <f t="shared" si="3"/>
        <v>（月）</v>
      </c>
      <c r="J15" s="980" t="str">
        <f t="shared" si="3"/>
        <v>（火）</v>
      </c>
      <c r="K15" s="980" t="str">
        <f t="shared" si="3"/>
        <v>（水）</v>
      </c>
      <c r="L15" s="980" t="str">
        <f t="shared" si="3"/>
        <v>（木）</v>
      </c>
      <c r="M15" s="980" t="str">
        <f t="shared" si="3"/>
        <v>（金）</v>
      </c>
      <c r="N15" s="980" t="str">
        <f t="shared" si="3"/>
        <v>（土）</v>
      </c>
      <c r="O15" s="980" t="str">
        <f t="shared" si="3"/>
        <v>（日）</v>
      </c>
      <c r="P15" s="980" t="str">
        <f t="shared" si="3"/>
        <v>（月）</v>
      </c>
      <c r="Q15" s="980" t="str">
        <f t="shared" si="3"/>
        <v>（火）</v>
      </c>
      <c r="R15" s="980" t="str">
        <f t="shared" si="3"/>
        <v>（水）</v>
      </c>
      <c r="S15" s="980" t="str">
        <f t="shared" si="3"/>
        <v>（木）</v>
      </c>
      <c r="T15" s="980" t="str">
        <f t="shared" si="3"/>
        <v>（金）</v>
      </c>
      <c r="U15" s="980" t="str">
        <f t="shared" si="3"/>
        <v>（土）</v>
      </c>
      <c r="V15" s="980" t="str">
        <f t="shared" si="3"/>
        <v>（日）</v>
      </c>
      <c r="W15" s="980" t="str">
        <f t="shared" si="3"/>
        <v>（月）</v>
      </c>
      <c r="X15" s="980" t="str">
        <f t="shared" si="3"/>
        <v>（火）</v>
      </c>
      <c r="Y15" s="980" t="str">
        <f t="shared" si="3"/>
        <v>（水）</v>
      </c>
      <c r="Z15" s="980" t="str">
        <f t="shared" si="3"/>
        <v>（木）</v>
      </c>
      <c r="AA15" s="980" t="str">
        <f t="shared" si="3"/>
        <v>（金）</v>
      </c>
      <c r="AB15" s="980" t="str">
        <f t="shared" si="3"/>
        <v>（土）</v>
      </c>
      <c r="AC15" s="980" t="str">
        <f t="shared" si="3"/>
        <v>（日）</v>
      </c>
      <c r="AD15" s="980" t="str">
        <f t="shared" si="3"/>
        <v>（月）</v>
      </c>
      <c r="AE15" s="980" t="str">
        <f t="shared" si="3"/>
        <v>（火）</v>
      </c>
      <c r="AF15" s="980" t="str">
        <f t="shared" si="3"/>
        <v>（水）</v>
      </c>
      <c r="AG15" s="980" t="str">
        <f t="shared" si="3"/>
        <v>（木）</v>
      </c>
      <c r="AH15" s="980" t="str">
        <f t="shared" si="3"/>
        <v>（金）</v>
      </c>
      <c r="AI15" s="979" t="str">
        <f t="shared" si="3"/>
        <v>（土）</v>
      </c>
      <c r="AJ15" s="1856"/>
      <c r="AK15" s="467"/>
      <c r="AL15" s="1854" t="s">
        <v>410</v>
      </c>
      <c r="AM15" s="1854"/>
      <c r="AN15" s="468" t="str">
        <f>IF(E14&lt;&gt;"",IF(OR(WEEKDAY(DATE($A14,$B14,E14),2)&gt;6,COUNTIF('休日情報(要更新)'!$A$5:$J$32,DATE($A14,$B14,E14)) &gt;=1),"○",IF(WEEKDAY(DATE($A14,$B14,E14),2)=6,"●","")),"×")</f>
        <v/>
      </c>
      <c r="AO15" s="468" t="str">
        <f>IF(F14&lt;&gt;"",IF(OR(WEEKDAY(DATE($A14,$B14,F14),2)&gt;6,COUNTIF('休日情報(要更新)'!$A$5:$J$32,DATE($A14,$B14,F14)) &gt;=1),"○",IF(WEEKDAY(DATE($A14,$B14,F14),2)=6,"●","")),"×")</f>
        <v/>
      </c>
      <c r="AP15" s="468" t="str">
        <f>IF(G14&lt;&gt;"",IF(OR(WEEKDAY(DATE($A14,$B14,G14),2)&gt;6,COUNTIF('休日情報(要更新)'!$A$5:$J$32,DATE($A14,$B14,G14)) &gt;=1),"○",IF(WEEKDAY(DATE($A14,$B14,G14),2)=6,"●","")),"×")</f>
        <v>○</v>
      </c>
      <c r="AQ15" s="468" t="str">
        <f>IF(H14&lt;&gt;"",IF(OR(WEEKDAY(DATE($A14,$B14,H14),2)&gt;6,COUNTIF('休日情報(要更新)'!$A$5:$J$32,DATE($A14,$B14,H14)) &gt;=1),"○",IF(WEEKDAY(DATE($A14,$B14,H14),2)=6,"●","")),"×")</f>
        <v>○</v>
      </c>
      <c r="AR15" s="468" t="str">
        <f>IF(I14&lt;&gt;"",IF(OR(WEEKDAY(DATE($A14,$B14,I14),2)&gt;6,COUNTIF('休日情報(要更新)'!$A$5:$J$32,DATE($A14,$B14,I14)) &gt;=1),"○",IF(WEEKDAY(DATE($A14,$B14,I14),2)=6,"●","")),"×")</f>
        <v>○</v>
      </c>
      <c r="AS15" s="468" t="str">
        <f>IF(J14&lt;&gt;"",IF(OR(WEEKDAY(DATE($A14,$B14,J14),2)&gt;6,COUNTIF('休日情報(要更新)'!$A$5:$J$32,DATE($A14,$B14,J14)) &gt;=1),"○",IF(WEEKDAY(DATE($A14,$B14,J14),2)=6,"●","")),"×")</f>
        <v>○</v>
      </c>
      <c r="AT15" s="468" t="str">
        <f>IF(K14&lt;&gt;"",IF(OR(WEEKDAY(DATE($A14,$B14,K14),2)&gt;6,COUNTIF('休日情報(要更新)'!$A$5:$J$32,DATE($A14,$B14,K14)) &gt;=1),"○",IF(WEEKDAY(DATE($A14,$B14,K14),2)=6,"●","")),"×")</f>
        <v/>
      </c>
      <c r="AU15" s="468" t="str">
        <f>IF(L14&lt;&gt;"",IF(OR(WEEKDAY(DATE($A14,$B14,L14),2)&gt;6,COUNTIF('休日情報(要更新)'!$A$5:$J$32,DATE($A14,$B14,L14)) &gt;=1),"○",IF(WEEKDAY(DATE($A14,$B14,L14),2)=6,"●","")),"×")</f>
        <v/>
      </c>
      <c r="AV15" s="468" t="str">
        <f>IF(M14&lt;&gt;"",IF(OR(WEEKDAY(DATE($A14,$B14,M14),2)&gt;6,COUNTIF('休日情報(要更新)'!$A$5:$J$32,DATE($A14,$B14,M14)) &gt;=1),"○",IF(WEEKDAY(DATE($A14,$B14,M14),2)=6,"●","")),"×")</f>
        <v/>
      </c>
      <c r="AW15" s="468" t="str">
        <f>IF(N14&lt;&gt;"",IF(OR(WEEKDAY(DATE($A14,$B14,N14),2)&gt;6,COUNTIF('休日情報(要更新)'!$A$5:$J$32,DATE($A14,$B14,N14)) &gt;=1),"○",IF(WEEKDAY(DATE($A14,$B14,N14),2)=6,"●","")),"×")</f>
        <v>●</v>
      </c>
      <c r="AX15" s="468" t="str">
        <f>IF(O14&lt;&gt;"",IF(OR(WEEKDAY(DATE($A14,$B14,O14),2)&gt;6,COUNTIF('休日情報(要更新)'!$A$5:$J$32,DATE($A14,$B14,O14)) &gt;=1),"○",IF(WEEKDAY(DATE($A14,$B14,O14),2)=6,"●","")),"×")</f>
        <v>○</v>
      </c>
      <c r="AY15" s="468" t="str">
        <f>IF(P14&lt;&gt;"",IF(OR(WEEKDAY(DATE($A14,$B14,P14),2)&gt;6,COUNTIF('休日情報(要更新)'!$A$5:$J$32,DATE($A14,$B14,P14)) &gt;=1),"○",IF(WEEKDAY(DATE($A14,$B14,P14),2)=6,"●","")),"×")</f>
        <v/>
      </c>
      <c r="AZ15" s="468" t="str">
        <f>IF(Q14&lt;&gt;"",IF(OR(WEEKDAY(DATE($A14,$B14,Q14),2)&gt;6,COUNTIF('休日情報(要更新)'!$A$5:$J$32,DATE($A14,$B14,Q14)) &gt;=1),"○",IF(WEEKDAY(DATE($A14,$B14,Q14),2)=6,"●","")),"×")</f>
        <v/>
      </c>
      <c r="BA15" s="468" t="str">
        <f>IF(R14&lt;&gt;"",IF(OR(WEEKDAY(DATE($A14,$B14,R14),2)&gt;6,COUNTIF('休日情報(要更新)'!$A$5:$J$32,DATE($A14,$B14,R14)) &gt;=1),"○",IF(WEEKDAY(DATE($A14,$B14,R14),2)=6,"●","")),"×")</f>
        <v/>
      </c>
      <c r="BB15" s="468" t="str">
        <f>IF(S14&lt;&gt;"",IF(OR(WEEKDAY(DATE($A14,$B14,S14),2)&gt;6,COUNTIF('休日情報(要更新)'!$A$5:$J$32,DATE($A14,$B14,S14)) &gt;=1),"○",IF(WEEKDAY(DATE($A14,$B14,S14),2)=6,"●","")),"×")</f>
        <v/>
      </c>
      <c r="BC15" s="468" t="str">
        <f>IF(T14&lt;&gt;"",IF(OR(WEEKDAY(DATE($A14,$B14,T14),2)&gt;6,COUNTIF('休日情報(要更新)'!$A$5:$J$32,DATE($A14,$B14,T14)) &gt;=1),"○",IF(WEEKDAY(DATE($A14,$B14,T14),2)=6,"●","")),"×")</f>
        <v/>
      </c>
      <c r="BD15" s="468" t="str">
        <f>IF(U14&lt;&gt;"",IF(OR(WEEKDAY(DATE($A14,$B14,U14),2)&gt;6,COUNTIF('休日情報(要更新)'!$A$5:$J$32,DATE($A14,$B14,U14)) &gt;=1),"○",IF(WEEKDAY(DATE($A14,$B14,U14),2)=6,"●","")),"×")</f>
        <v>●</v>
      </c>
      <c r="BE15" s="468" t="str">
        <f>IF(V14&lt;&gt;"",IF(OR(WEEKDAY(DATE($A14,$B14,V14),2)&gt;6,COUNTIF('休日情報(要更新)'!$A$5:$J$32,DATE($A14,$B14,V14)) &gt;=1),"○",IF(WEEKDAY(DATE($A14,$B14,V14),2)=6,"●","")),"×")</f>
        <v>○</v>
      </c>
      <c r="BF15" s="468" t="str">
        <f>IF(W14&lt;&gt;"",IF(OR(WEEKDAY(DATE($A14,$B14,W14),2)&gt;6,COUNTIF('休日情報(要更新)'!$A$5:$J$32,DATE($A14,$B14,W14)) &gt;=1),"○",IF(WEEKDAY(DATE($A14,$B14,W14),2)=6,"●","")),"×")</f>
        <v/>
      </c>
      <c r="BG15" s="468" t="str">
        <f>IF(X14&lt;&gt;"",IF(OR(WEEKDAY(DATE($A14,$B14,X14),2)&gt;6,COUNTIF('休日情報(要更新)'!$A$5:$J$32,DATE($A14,$B14,X14)) &gt;=1),"○",IF(WEEKDAY(DATE($A14,$B14,X14),2)=6,"●","")),"×")</f>
        <v/>
      </c>
      <c r="BH15" s="468" t="str">
        <f>IF(Y14&lt;&gt;"",IF(OR(WEEKDAY(DATE($A14,$B14,Y14),2)&gt;6,COUNTIF('休日情報(要更新)'!$A$5:$J$32,DATE($A14,$B14,Y14)) &gt;=1),"○",IF(WEEKDAY(DATE($A14,$B14,Y14),2)=6,"●","")),"×")</f>
        <v/>
      </c>
      <c r="BI15" s="468" t="str">
        <f>IF(Z14&lt;&gt;"",IF(OR(WEEKDAY(DATE($A14,$B14,Z14),2)&gt;6,COUNTIF('休日情報(要更新)'!$A$5:$J$32,DATE($A14,$B14,Z14)) &gt;=1),"○",IF(WEEKDAY(DATE($A14,$B14,Z14),2)=6,"●","")),"×")</f>
        <v/>
      </c>
      <c r="BJ15" s="468" t="str">
        <f>IF(AA14&lt;&gt;"",IF(OR(WEEKDAY(DATE($A14,$B14,AA14),2)&gt;6,COUNTIF('休日情報(要更新)'!$A$5:$J$32,DATE($A14,$B14,AA14)) &gt;=1),"○",IF(WEEKDAY(DATE($A14,$B14,AA14),2)=6,"●","")),"×")</f>
        <v/>
      </c>
      <c r="BK15" s="468" t="str">
        <f>IF(AB14&lt;&gt;"",IF(OR(WEEKDAY(DATE($A14,$B14,AB14),2)&gt;6,COUNTIF('休日情報(要更新)'!$A$5:$J$32,DATE($A14,$B14,AB14)) &gt;=1),"○",IF(WEEKDAY(DATE($A14,$B14,AB14),2)=6,"●","")),"×")</f>
        <v>●</v>
      </c>
      <c r="BL15" s="468" t="str">
        <f>IF(AC14&lt;&gt;"",IF(OR(WEEKDAY(DATE($A14,$B14,AC14),2)&gt;6,COUNTIF('休日情報(要更新)'!$A$5:$J$32,DATE($A14,$B14,AC14)) &gt;=1),"○",IF(WEEKDAY(DATE($A14,$B14,AC14),2)=6,"●","")),"×")</f>
        <v>○</v>
      </c>
      <c r="BM15" s="468" t="str">
        <f>IF(AD14&lt;&gt;"",IF(OR(WEEKDAY(DATE($A14,$B14,AD14),2)&gt;6,COUNTIF('休日情報(要更新)'!$A$5:$J$32,DATE($A14,$B14,AD14)) &gt;=1),"○",IF(WEEKDAY(DATE($A14,$B14,AD14),2)=6,"●","")),"×")</f>
        <v/>
      </c>
      <c r="BN15" s="468" t="str">
        <f>IF(AE14&lt;&gt;"",IF(OR(WEEKDAY(DATE($A14,$B14,AE14),2)&gt;6,COUNTIF('休日情報(要更新)'!$A$5:$J$32,DATE($A14,$B14,AE14)) &gt;=1),"○",IF(WEEKDAY(DATE($A14,$B14,AE14),2)=6,"●","")),"×")</f>
        <v/>
      </c>
      <c r="BO15" s="468" t="str">
        <f>IF(AF14&lt;&gt;"",IF(OR(WEEKDAY(DATE($A14,$B14,AF14),2)&gt;6,COUNTIF('休日情報(要更新)'!$A$5:$J$32,DATE($A14,$B14,AF14)) &gt;=1),"○",IF(WEEKDAY(DATE($A14,$B14,AF14),2)=6,"●","")),"×")</f>
        <v/>
      </c>
      <c r="BP15" s="468" t="str">
        <f>IF(AG14&lt;&gt;"",IF(OR(WEEKDAY(DATE($A14,$B14,AG14),2)&gt;6,COUNTIF('休日情報(要更新)'!$A$5:$J$32,DATE($A14,$B14,AG14)) &gt;=1),"○",IF(WEEKDAY(DATE($A14,$B14,AG14),2)=6,"●","")),"×")</f>
        <v/>
      </c>
      <c r="BQ15" s="468" t="str">
        <f>IF(AH14&lt;&gt;"",IF(OR(WEEKDAY(DATE($A14,$B14,AH14),2)&gt;6,COUNTIF('休日情報(要更新)'!$A$5:$J$32,DATE($A14,$B14,AH14)) &gt;=1),"○",IF(WEEKDAY(DATE($A14,$B14,AH14),2)=6,"●","")),"×")</f>
        <v/>
      </c>
      <c r="BR15" s="468" t="str">
        <f>IF(AI14&lt;&gt;"",IF(OR(WEEKDAY(DATE($A14,$B14,AI14),2)&gt;6,COUNTIF('休日情報(要更新)'!$A$5:$J$32,DATE($A14,$B14,AI14)) &gt;=1),"○",IF(WEEKDAY(DATE($A14,$B14,AI14),2)=6,"●","")),"×")</f>
        <v>●</v>
      </c>
    </row>
    <row r="16" spans="1:70" ht="12" customHeight="1">
      <c r="A16" s="1857"/>
      <c r="B16" s="1859"/>
      <c r="C16" s="1848"/>
      <c r="D16" s="486" t="s">
        <v>557</v>
      </c>
      <c r="E16" s="469"/>
      <c r="F16" s="470"/>
      <c r="G16" s="470"/>
      <c r="H16" s="470"/>
      <c r="I16" s="470"/>
      <c r="J16" s="470"/>
      <c r="K16" s="470"/>
      <c r="L16" s="470"/>
      <c r="M16" s="470"/>
      <c r="N16" s="470"/>
      <c r="O16" s="470"/>
      <c r="P16" s="470"/>
      <c r="Q16" s="470"/>
      <c r="R16" s="470"/>
      <c r="S16" s="470"/>
      <c r="T16" s="470"/>
      <c r="U16" s="470"/>
      <c r="V16" s="470"/>
      <c r="W16" s="470"/>
      <c r="X16" s="470"/>
      <c r="Y16" s="470"/>
      <c r="Z16" s="470"/>
      <c r="AA16" s="470"/>
      <c r="AB16" s="470"/>
      <c r="AC16" s="470"/>
      <c r="AD16" s="470"/>
      <c r="AE16" s="470"/>
      <c r="AF16" s="470"/>
      <c r="AG16" s="470"/>
      <c r="AH16" s="470"/>
      <c r="AI16" s="471"/>
      <c r="AJ16" s="472">
        <f>COUNTIFS(AN15:BR15,"",E16:AI16,"○")</f>
        <v>0</v>
      </c>
      <c r="AK16" s="473"/>
    </row>
    <row r="17" spans="1:70" ht="12.75" customHeight="1">
      <c r="A17" s="1857"/>
      <c r="B17" s="1859"/>
      <c r="C17" s="1849"/>
      <c r="D17" s="832" t="s">
        <v>558</v>
      </c>
      <c r="E17" s="833"/>
      <c r="F17" s="830"/>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c r="AE17" s="830"/>
      <c r="AF17" s="830"/>
      <c r="AG17" s="830"/>
      <c r="AH17" s="830"/>
      <c r="AI17" s="831"/>
      <c r="AJ17" s="834">
        <f>COUNTIFS(E16:AI16,"○",AN15:BR15,"",E17:AI17,"○")</f>
        <v>0</v>
      </c>
    </row>
    <row r="18" spans="1:70" ht="12.75" customHeight="1">
      <c r="A18" s="967"/>
      <c r="B18" s="1860"/>
      <c r="C18" s="1846"/>
      <c r="D18" s="487" t="s">
        <v>943</v>
      </c>
      <c r="E18" s="475"/>
      <c r="F18" s="476"/>
      <c r="G18" s="476"/>
      <c r="H18" s="476"/>
      <c r="I18" s="476"/>
      <c r="J18" s="476"/>
      <c r="K18" s="476"/>
      <c r="L18" s="476"/>
      <c r="M18" s="476"/>
      <c r="N18" s="476"/>
      <c r="O18" s="476"/>
      <c r="P18" s="476"/>
      <c r="Q18" s="476"/>
      <c r="R18" s="476"/>
      <c r="S18" s="476"/>
      <c r="T18" s="476"/>
      <c r="U18" s="476"/>
      <c r="V18" s="476"/>
      <c r="W18" s="476"/>
      <c r="X18" s="476"/>
      <c r="Y18" s="476"/>
      <c r="Z18" s="476"/>
      <c r="AA18" s="476"/>
      <c r="AB18" s="476"/>
      <c r="AC18" s="476"/>
      <c r="AD18" s="476"/>
      <c r="AE18" s="476"/>
      <c r="AF18" s="476"/>
      <c r="AG18" s="476"/>
      <c r="AH18" s="476"/>
      <c r="AI18" s="477"/>
      <c r="AJ18" s="478">
        <f>COUNTIFS(E16:AI16,"○",AN15:BR15,"",E17:AI17,"○",E18:AI18,"○")</f>
        <v>0</v>
      </c>
    </row>
    <row r="19" spans="1:70" ht="12.75" customHeight="1">
      <c r="A19" s="1857">
        <f>IF($AN$7=0,#REF!,$AN$7)+IF(AND($B19&gt;=1,$B19&lt;=3),1,0)</f>
        <v>2025</v>
      </c>
      <c r="B19" s="1858">
        <v>6</v>
      </c>
      <c r="C19" s="1846" t="s">
        <v>947</v>
      </c>
      <c r="D19" s="835" t="s">
        <v>547</v>
      </c>
      <c r="E19" s="836">
        <v>1</v>
      </c>
      <c r="F19" s="837">
        <v>2</v>
      </c>
      <c r="G19" s="837">
        <v>3</v>
      </c>
      <c r="H19" s="837">
        <v>4</v>
      </c>
      <c r="I19" s="837">
        <v>5</v>
      </c>
      <c r="J19" s="837">
        <v>6</v>
      </c>
      <c r="K19" s="837">
        <v>7</v>
      </c>
      <c r="L19" s="837">
        <v>8</v>
      </c>
      <c r="M19" s="837">
        <v>9</v>
      </c>
      <c r="N19" s="837">
        <v>10</v>
      </c>
      <c r="O19" s="837">
        <v>11</v>
      </c>
      <c r="P19" s="837">
        <v>12</v>
      </c>
      <c r="Q19" s="837">
        <v>13</v>
      </c>
      <c r="R19" s="837">
        <v>14</v>
      </c>
      <c r="S19" s="837">
        <v>15</v>
      </c>
      <c r="T19" s="837">
        <v>16</v>
      </c>
      <c r="U19" s="837">
        <v>17</v>
      </c>
      <c r="V19" s="837">
        <v>18</v>
      </c>
      <c r="W19" s="837">
        <v>19</v>
      </c>
      <c r="X19" s="837">
        <v>20</v>
      </c>
      <c r="Y19" s="837">
        <v>21</v>
      </c>
      <c r="Z19" s="837">
        <v>22</v>
      </c>
      <c r="AA19" s="837">
        <v>23</v>
      </c>
      <c r="AB19" s="837">
        <v>24</v>
      </c>
      <c r="AC19" s="837">
        <v>25</v>
      </c>
      <c r="AD19" s="837">
        <v>26</v>
      </c>
      <c r="AE19" s="837">
        <v>27</v>
      </c>
      <c r="AF19" s="837">
        <v>28</v>
      </c>
      <c r="AG19" s="837">
        <f>IF(MONTH(DATE($A19,B19,AF19+1))=B19,AF19+1,"")</f>
        <v>29</v>
      </c>
      <c r="AH19" s="837">
        <f t="shared" ref="AH19" si="4">IF(B19&lt;&gt;2,IF(AG19&lt;&gt;"",AG19+1,""),"")</f>
        <v>30</v>
      </c>
      <c r="AI19" s="838" t="str">
        <f t="shared" ref="AI19" si="5">IF(OR(B19=1,B19=3,B19=5,B19=7,B19=8,B19=10,B19=12),AH19+1,"")</f>
        <v/>
      </c>
      <c r="AJ19" s="1855" t="s">
        <v>19</v>
      </c>
      <c r="AK19" s="467"/>
      <c r="AL19" s="1854" t="s">
        <v>382</v>
      </c>
      <c r="AM19" s="1854"/>
      <c r="AN19" s="468">
        <v>1</v>
      </c>
      <c r="AO19" s="468">
        <v>2</v>
      </c>
      <c r="AP19" s="468">
        <v>3</v>
      </c>
      <c r="AQ19" s="468">
        <v>4</v>
      </c>
      <c r="AR19" s="468">
        <v>5</v>
      </c>
      <c r="AS19" s="468">
        <v>6</v>
      </c>
      <c r="AT19" s="468">
        <v>7</v>
      </c>
      <c r="AU19" s="468">
        <v>8</v>
      </c>
      <c r="AV19" s="468">
        <v>9</v>
      </c>
      <c r="AW19" s="468">
        <v>10</v>
      </c>
      <c r="AX19" s="468">
        <v>11</v>
      </c>
      <c r="AY19" s="468">
        <v>12</v>
      </c>
      <c r="AZ19" s="468">
        <v>13</v>
      </c>
      <c r="BA19" s="468">
        <v>14</v>
      </c>
      <c r="BB19" s="468">
        <v>15</v>
      </c>
      <c r="BC19" s="468">
        <v>16</v>
      </c>
      <c r="BD19" s="468">
        <v>17</v>
      </c>
      <c r="BE19" s="468">
        <v>18</v>
      </c>
      <c r="BF19" s="468">
        <v>19</v>
      </c>
      <c r="BG19" s="468">
        <v>20</v>
      </c>
      <c r="BH19" s="468">
        <v>21</v>
      </c>
      <c r="BI19" s="468">
        <v>22</v>
      </c>
      <c r="BJ19" s="468">
        <v>23</v>
      </c>
      <c r="BK19" s="468">
        <v>24</v>
      </c>
      <c r="BL19" s="468">
        <v>25</v>
      </c>
      <c r="BM19" s="468">
        <v>26</v>
      </c>
      <c r="BN19" s="468">
        <v>27</v>
      </c>
      <c r="BO19" s="468">
        <v>28</v>
      </c>
      <c r="BP19" s="468">
        <v>29</v>
      </c>
      <c r="BQ19" s="468">
        <v>30</v>
      </c>
      <c r="BR19" s="468">
        <v>31</v>
      </c>
    </row>
    <row r="20" spans="1:70" ht="12" customHeight="1">
      <c r="A20" s="1857"/>
      <c r="B20" s="1859"/>
      <c r="C20" s="1847"/>
      <c r="D20" s="485" t="s">
        <v>383</v>
      </c>
      <c r="E20" s="978" t="str">
        <f t="shared" ref="E20:AI20" si="6">IF(E19&lt;&gt;"",HLOOKUP(WEEKDAY(DATE($A19,$B19,E19)),$AP$1:$AV$2,2,FALSE),"")</f>
        <v>（日）</v>
      </c>
      <c r="F20" s="980" t="str">
        <f t="shared" si="6"/>
        <v>（月）</v>
      </c>
      <c r="G20" s="980" t="str">
        <f t="shared" si="6"/>
        <v>（火）</v>
      </c>
      <c r="H20" s="980" t="str">
        <f t="shared" si="6"/>
        <v>（水）</v>
      </c>
      <c r="I20" s="980" t="str">
        <f t="shared" si="6"/>
        <v>（木）</v>
      </c>
      <c r="J20" s="980" t="str">
        <f t="shared" si="6"/>
        <v>（金）</v>
      </c>
      <c r="K20" s="980" t="str">
        <f t="shared" si="6"/>
        <v>（土）</v>
      </c>
      <c r="L20" s="980" t="str">
        <f t="shared" si="6"/>
        <v>（日）</v>
      </c>
      <c r="M20" s="980" t="str">
        <f t="shared" si="6"/>
        <v>（月）</v>
      </c>
      <c r="N20" s="980" t="str">
        <f t="shared" si="6"/>
        <v>（火）</v>
      </c>
      <c r="O20" s="980" t="str">
        <f t="shared" si="6"/>
        <v>（水）</v>
      </c>
      <c r="P20" s="980" t="str">
        <f t="shared" si="6"/>
        <v>（木）</v>
      </c>
      <c r="Q20" s="980" t="str">
        <f t="shared" si="6"/>
        <v>（金）</v>
      </c>
      <c r="R20" s="980" t="str">
        <f t="shared" si="6"/>
        <v>（土）</v>
      </c>
      <c r="S20" s="980" t="str">
        <f t="shared" si="6"/>
        <v>（日）</v>
      </c>
      <c r="T20" s="980" t="str">
        <f t="shared" si="6"/>
        <v>（月）</v>
      </c>
      <c r="U20" s="980" t="str">
        <f t="shared" si="6"/>
        <v>（火）</v>
      </c>
      <c r="V20" s="980" t="str">
        <f t="shared" si="6"/>
        <v>（水）</v>
      </c>
      <c r="W20" s="980" t="str">
        <f t="shared" si="6"/>
        <v>（木）</v>
      </c>
      <c r="X20" s="980" t="str">
        <f t="shared" si="6"/>
        <v>（金）</v>
      </c>
      <c r="Y20" s="980" t="str">
        <f t="shared" si="6"/>
        <v>（土）</v>
      </c>
      <c r="Z20" s="980" t="str">
        <f t="shared" si="6"/>
        <v>（日）</v>
      </c>
      <c r="AA20" s="980" t="str">
        <f t="shared" si="6"/>
        <v>（月）</v>
      </c>
      <c r="AB20" s="980" t="str">
        <f t="shared" si="6"/>
        <v>（火）</v>
      </c>
      <c r="AC20" s="980" t="str">
        <f t="shared" si="6"/>
        <v>（水）</v>
      </c>
      <c r="AD20" s="980" t="str">
        <f t="shared" si="6"/>
        <v>（木）</v>
      </c>
      <c r="AE20" s="980" t="str">
        <f t="shared" si="6"/>
        <v>（金）</v>
      </c>
      <c r="AF20" s="980" t="str">
        <f t="shared" si="6"/>
        <v>（土）</v>
      </c>
      <c r="AG20" s="980" t="str">
        <f t="shared" si="6"/>
        <v>（日）</v>
      </c>
      <c r="AH20" s="980" t="str">
        <f t="shared" si="6"/>
        <v>（月）</v>
      </c>
      <c r="AI20" s="979" t="str">
        <f t="shared" si="6"/>
        <v/>
      </c>
      <c r="AJ20" s="1856"/>
      <c r="AK20" s="467"/>
      <c r="AL20" s="1854" t="s">
        <v>410</v>
      </c>
      <c r="AM20" s="1854"/>
      <c r="AN20" s="468" t="str">
        <f>IF(E19&lt;&gt;"",IF(OR(WEEKDAY(DATE($A19,$B19,E19),2)&gt;6,COUNTIF('休日情報(要更新)'!$A$5:$J$32,DATE($A19,$B19,E19)) &gt;=1),"○",IF(WEEKDAY(DATE($A19,$B19,E19),2)=6,"●","")),"×")</f>
        <v>○</v>
      </c>
      <c r="AO20" s="468" t="str">
        <f>IF(F19&lt;&gt;"",IF(OR(WEEKDAY(DATE($A19,$B19,F19),2)&gt;6,COUNTIF('休日情報(要更新)'!$A$5:$J$32,DATE($A19,$B19,F19)) &gt;=1),"○",IF(WEEKDAY(DATE($A19,$B19,F19),2)=6,"●","")),"×")</f>
        <v/>
      </c>
      <c r="AP20" s="468" t="str">
        <f>IF(G19&lt;&gt;"",IF(OR(WEEKDAY(DATE($A19,$B19,G19),2)&gt;6,COUNTIF('休日情報(要更新)'!$A$5:$J$32,DATE($A19,$B19,G19)) &gt;=1),"○",IF(WEEKDAY(DATE($A19,$B19,G19),2)=6,"●","")),"×")</f>
        <v/>
      </c>
      <c r="AQ20" s="468" t="str">
        <f>IF(H19&lt;&gt;"",IF(OR(WEEKDAY(DATE($A19,$B19,H19),2)&gt;6,COUNTIF('休日情報(要更新)'!$A$5:$J$32,DATE($A19,$B19,H19)) &gt;=1),"○",IF(WEEKDAY(DATE($A19,$B19,H19),2)=6,"●","")),"×")</f>
        <v/>
      </c>
      <c r="AR20" s="468" t="str">
        <f>IF(I19&lt;&gt;"",IF(OR(WEEKDAY(DATE($A19,$B19,I19),2)&gt;6,COUNTIF('休日情報(要更新)'!$A$5:$J$32,DATE($A19,$B19,I19)) &gt;=1),"○",IF(WEEKDAY(DATE($A19,$B19,I19),2)=6,"●","")),"×")</f>
        <v/>
      </c>
      <c r="AS20" s="468" t="str">
        <f>IF(J19&lt;&gt;"",IF(OR(WEEKDAY(DATE($A19,$B19,J19),2)&gt;6,COUNTIF('休日情報(要更新)'!$A$5:$J$32,DATE($A19,$B19,J19)) &gt;=1),"○",IF(WEEKDAY(DATE($A19,$B19,J19),2)=6,"●","")),"×")</f>
        <v/>
      </c>
      <c r="AT20" s="468" t="str">
        <f>IF(K19&lt;&gt;"",IF(OR(WEEKDAY(DATE($A19,$B19,K19),2)&gt;6,COUNTIF('休日情報(要更新)'!$A$5:$J$32,DATE($A19,$B19,K19)) &gt;=1),"○",IF(WEEKDAY(DATE($A19,$B19,K19),2)=6,"●","")),"×")</f>
        <v>●</v>
      </c>
      <c r="AU20" s="468" t="str">
        <f>IF(L19&lt;&gt;"",IF(OR(WEEKDAY(DATE($A19,$B19,L19),2)&gt;6,COUNTIF('休日情報(要更新)'!$A$5:$J$32,DATE($A19,$B19,L19)) &gt;=1),"○",IF(WEEKDAY(DATE($A19,$B19,L19),2)=6,"●","")),"×")</f>
        <v>○</v>
      </c>
      <c r="AV20" s="468" t="str">
        <f>IF(M19&lt;&gt;"",IF(OR(WEEKDAY(DATE($A19,$B19,M19),2)&gt;6,COUNTIF('休日情報(要更新)'!$A$5:$J$32,DATE($A19,$B19,M19)) &gt;=1),"○",IF(WEEKDAY(DATE($A19,$B19,M19),2)=6,"●","")),"×")</f>
        <v/>
      </c>
      <c r="AW20" s="468" t="str">
        <f>IF(N19&lt;&gt;"",IF(OR(WEEKDAY(DATE($A19,$B19,N19),2)&gt;6,COUNTIF('休日情報(要更新)'!$A$5:$J$32,DATE($A19,$B19,N19)) &gt;=1),"○",IF(WEEKDAY(DATE($A19,$B19,N19),2)=6,"●","")),"×")</f>
        <v/>
      </c>
      <c r="AX20" s="468" t="str">
        <f>IF(O19&lt;&gt;"",IF(OR(WEEKDAY(DATE($A19,$B19,O19),2)&gt;6,COUNTIF('休日情報(要更新)'!$A$5:$J$32,DATE($A19,$B19,O19)) &gt;=1),"○",IF(WEEKDAY(DATE($A19,$B19,O19),2)=6,"●","")),"×")</f>
        <v/>
      </c>
      <c r="AY20" s="468" t="str">
        <f>IF(P19&lt;&gt;"",IF(OR(WEEKDAY(DATE($A19,$B19,P19),2)&gt;6,COUNTIF('休日情報(要更新)'!$A$5:$J$32,DATE($A19,$B19,P19)) &gt;=1),"○",IF(WEEKDAY(DATE($A19,$B19,P19),2)=6,"●","")),"×")</f>
        <v/>
      </c>
      <c r="AZ20" s="468" t="str">
        <f>IF(Q19&lt;&gt;"",IF(OR(WEEKDAY(DATE($A19,$B19,Q19),2)&gt;6,COUNTIF('休日情報(要更新)'!$A$5:$J$32,DATE($A19,$B19,Q19)) &gt;=1),"○",IF(WEEKDAY(DATE($A19,$B19,Q19),2)=6,"●","")),"×")</f>
        <v/>
      </c>
      <c r="BA20" s="468" t="str">
        <f>IF(R19&lt;&gt;"",IF(OR(WEEKDAY(DATE($A19,$B19,R19),2)&gt;6,COUNTIF('休日情報(要更新)'!$A$5:$J$32,DATE($A19,$B19,R19)) &gt;=1),"○",IF(WEEKDAY(DATE($A19,$B19,R19),2)=6,"●","")),"×")</f>
        <v>●</v>
      </c>
      <c r="BB20" s="468" t="str">
        <f>IF(S19&lt;&gt;"",IF(OR(WEEKDAY(DATE($A19,$B19,S19),2)&gt;6,COUNTIF('休日情報(要更新)'!$A$5:$J$32,DATE($A19,$B19,S19)) &gt;=1),"○",IF(WEEKDAY(DATE($A19,$B19,S19),2)=6,"●","")),"×")</f>
        <v>○</v>
      </c>
      <c r="BC20" s="468" t="str">
        <f>IF(T19&lt;&gt;"",IF(OR(WEEKDAY(DATE($A19,$B19,T19),2)&gt;6,COUNTIF('休日情報(要更新)'!$A$5:$J$32,DATE($A19,$B19,T19)) &gt;=1),"○",IF(WEEKDAY(DATE($A19,$B19,T19),2)=6,"●","")),"×")</f>
        <v/>
      </c>
      <c r="BD20" s="468" t="str">
        <f>IF(U19&lt;&gt;"",IF(OR(WEEKDAY(DATE($A19,$B19,U19),2)&gt;6,COUNTIF('休日情報(要更新)'!$A$5:$J$32,DATE($A19,$B19,U19)) &gt;=1),"○",IF(WEEKDAY(DATE($A19,$B19,U19),2)=6,"●","")),"×")</f>
        <v/>
      </c>
      <c r="BE20" s="468" t="str">
        <f>IF(V19&lt;&gt;"",IF(OR(WEEKDAY(DATE($A19,$B19,V19),2)&gt;6,COUNTIF('休日情報(要更新)'!$A$5:$J$32,DATE($A19,$B19,V19)) &gt;=1),"○",IF(WEEKDAY(DATE($A19,$B19,V19),2)=6,"●","")),"×")</f>
        <v/>
      </c>
      <c r="BF20" s="468" t="str">
        <f>IF(W19&lt;&gt;"",IF(OR(WEEKDAY(DATE($A19,$B19,W19),2)&gt;6,COUNTIF('休日情報(要更新)'!$A$5:$J$32,DATE($A19,$B19,W19)) &gt;=1),"○",IF(WEEKDAY(DATE($A19,$B19,W19),2)=6,"●","")),"×")</f>
        <v/>
      </c>
      <c r="BG20" s="468" t="str">
        <f>IF(X19&lt;&gt;"",IF(OR(WEEKDAY(DATE($A19,$B19,X19),2)&gt;6,COUNTIF('休日情報(要更新)'!$A$5:$J$32,DATE($A19,$B19,X19)) &gt;=1),"○",IF(WEEKDAY(DATE($A19,$B19,X19),2)=6,"●","")),"×")</f>
        <v/>
      </c>
      <c r="BH20" s="468" t="str">
        <f>IF(Y19&lt;&gt;"",IF(OR(WEEKDAY(DATE($A19,$B19,Y19),2)&gt;6,COUNTIF('休日情報(要更新)'!$A$5:$J$32,DATE($A19,$B19,Y19)) &gt;=1),"○",IF(WEEKDAY(DATE($A19,$B19,Y19),2)=6,"●","")),"×")</f>
        <v>●</v>
      </c>
      <c r="BI20" s="468" t="str">
        <f>IF(Z19&lt;&gt;"",IF(OR(WEEKDAY(DATE($A19,$B19,Z19),2)&gt;6,COUNTIF('休日情報(要更新)'!$A$5:$J$32,DATE($A19,$B19,Z19)) &gt;=1),"○",IF(WEEKDAY(DATE($A19,$B19,Z19),2)=6,"●","")),"×")</f>
        <v>○</v>
      </c>
      <c r="BJ20" s="468" t="str">
        <f>IF(AA19&lt;&gt;"",IF(OR(WEEKDAY(DATE($A19,$B19,AA19),2)&gt;6,COUNTIF('休日情報(要更新)'!$A$5:$J$32,DATE($A19,$B19,AA19)) &gt;=1),"○",IF(WEEKDAY(DATE($A19,$B19,AA19),2)=6,"●","")),"×")</f>
        <v/>
      </c>
      <c r="BK20" s="468" t="str">
        <f>IF(AB19&lt;&gt;"",IF(OR(WEEKDAY(DATE($A19,$B19,AB19),2)&gt;6,COUNTIF('休日情報(要更新)'!$A$5:$J$32,DATE($A19,$B19,AB19)) &gt;=1),"○",IF(WEEKDAY(DATE($A19,$B19,AB19),2)=6,"●","")),"×")</f>
        <v/>
      </c>
      <c r="BL20" s="468" t="str">
        <f>IF(AC19&lt;&gt;"",IF(OR(WEEKDAY(DATE($A19,$B19,AC19),2)&gt;6,COUNTIF('休日情報(要更新)'!$A$5:$J$32,DATE($A19,$B19,AC19)) &gt;=1),"○",IF(WEEKDAY(DATE($A19,$B19,AC19),2)=6,"●","")),"×")</f>
        <v/>
      </c>
      <c r="BM20" s="468" t="str">
        <f>IF(AD19&lt;&gt;"",IF(OR(WEEKDAY(DATE($A19,$B19,AD19),2)&gt;6,COUNTIF('休日情報(要更新)'!$A$5:$J$32,DATE($A19,$B19,AD19)) &gt;=1),"○",IF(WEEKDAY(DATE($A19,$B19,AD19),2)=6,"●","")),"×")</f>
        <v/>
      </c>
      <c r="BN20" s="468" t="str">
        <f>IF(AE19&lt;&gt;"",IF(OR(WEEKDAY(DATE($A19,$B19,AE19),2)&gt;6,COUNTIF('休日情報(要更新)'!$A$5:$J$32,DATE($A19,$B19,AE19)) &gt;=1),"○",IF(WEEKDAY(DATE($A19,$B19,AE19),2)=6,"●","")),"×")</f>
        <v/>
      </c>
      <c r="BO20" s="468" t="str">
        <f>IF(AF19&lt;&gt;"",IF(OR(WEEKDAY(DATE($A19,$B19,AF19),2)&gt;6,COUNTIF('休日情報(要更新)'!$A$5:$J$32,DATE($A19,$B19,AF19)) &gt;=1),"○",IF(WEEKDAY(DATE($A19,$B19,AF19),2)=6,"●","")),"×")</f>
        <v>●</v>
      </c>
      <c r="BP20" s="468" t="str">
        <f>IF(AG19&lt;&gt;"",IF(OR(WEEKDAY(DATE($A19,$B19,AG19),2)&gt;6,COUNTIF('休日情報(要更新)'!$A$5:$J$32,DATE($A19,$B19,AG19)) &gt;=1),"○",IF(WEEKDAY(DATE($A19,$B19,AG19),2)=6,"●","")),"×")</f>
        <v>○</v>
      </c>
      <c r="BQ20" s="468" t="str">
        <f>IF(AH19&lt;&gt;"",IF(OR(WEEKDAY(DATE($A19,$B19,AH19),2)&gt;6,COUNTIF('休日情報(要更新)'!$A$5:$J$32,DATE($A19,$B19,AH19)) &gt;=1),"○",IF(WEEKDAY(DATE($A19,$B19,AH19),2)=6,"●","")),"×")</f>
        <v/>
      </c>
      <c r="BR20" s="468" t="str">
        <f>IF(AI19&lt;&gt;"",IF(OR(WEEKDAY(DATE($A19,$B19,AI19),2)&gt;6,COUNTIF('休日情報(要更新)'!$A$5:$J$32,DATE($A19,$B19,AI19)) &gt;=1),"○",IF(WEEKDAY(DATE($A19,$B19,AI19),2)=6,"●","")),"×")</f>
        <v>×</v>
      </c>
    </row>
    <row r="21" spans="1:70" ht="12" customHeight="1">
      <c r="A21" s="1857"/>
      <c r="B21" s="1859"/>
      <c r="C21" s="1848"/>
      <c r="D21" s="486" t="s">
        <v>557</v>
      </c>
      <c r="E21" s="469"/>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1"/>
      <c r="AJ21" s="472">
        <f>COUNTIFS(AN20:BR20,"",E21:AI21,"○")</f>
        <v>0</v>
      </c>
      <c r="AK21" s="473"/>
    </row>
    <row r="22" spans="1:70" ht="12.75" customHeight="1">
      <c r="A22" s="1857"/>
      <c r="B22" s="1859"/>
      <c r="C22" s="1849"/>
      <c r="D22" s="832" t="s">
        <v>558</v>
      </c>
      <c r="E22" s="833"/>
      <c r="F22" s="830"/>
      <c r="G22" s="830"/>
      <c r="H22" s="830"/>
      <c r="I22" s="830"/>
      <c r="J22" s="830"/>
      <c r="K22" s="830"/>
      <c r="L22" s="830"/>
      <c r="M22" s="830"/>
      <c r="N22" s="830"/>
      <c r="O22" s="830"/>
      <c r="P22" s="830"/>
      <c r="Q22" s="830"/>
      <c r="R22" s="830"/>
      <c r="S22" s="830"/>
      <c r="T22" s="830"/>
      <c r="U22" s="830"/>
      <c r="V22" s="830"/>
      <c r="W22" s="830"/>
      <c r="X22" s="830"/>
      <c r="Y22" s="830"/>
      <c r="Z22" s="830"/>
      <c r="AA22" s="830"/>
      <c r="AB22" s="830"/>
      <c r="AC22" s="830"/>
      <c r="AD22" s="830"/>
      <c r="AE22" s="830"/>
      <c r="AF22" s="830"/>
      <c r="AG22" s="830"/>
      <c r="AH22" s="830"/>
      <c r="AI22" s="831"/>
      <c r="AJ22" s="834">
        <f>COUNTIFS(E21:AI21,"○",AN20:BR20,"",E22:AI22,"○")</f>
        <v>0</v>
      </c>
    </row>
    <row r="23" spans="1:70" ht="12.75" customHeight="1">
      <c r="A23" s="967"/>
      <c r="B23" s="1860"/>
      <c r="C23" s="1846"/>
      <c r="D23" s="487" t="s">
        <v>943</v>
      </c>
      <c r="E23" s="475"/>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7"/>
      <c r="AJ23" s="478">
        <f>COUNTIFS(E21:AI21,"○",AN20:BR20,"",E22:AI22,"○",E23:AI23,"○")</f>
        <v>0</v>
      </c>
    </row>
    <row r="24" spans="1:70" ht="12" customHeight="1">
      <c r="A24" s="1857">
        <f>IF($AN$7=0,#REF!,$AN$7)+IF(AND($B24&gt;=1,$B24&lt;=3),1,0)</f>
        <v>2025</v>
      </c>
      <c r="B24" s="1858">
        <v>7</v>
      </c>
      <c r="C24" s="1846" t="s">
        <v>947</v>
      </c>
      <c r="D24" s="835" t="s">
        <v>547</v>
      </c>
      <c r="E24" s="836">
        <v>1</v>
      </c>
      <c r="F24" s="837">
        <v>2</v>
      </c>
      <c r="G24" s="837">
        <v>3</v>
      </c>
      <c r="H24" s="837">
        <v>4</v>
      </c>
      <c r="I24" s="837">
        <v>5</v>
      </c>
      <c r="J24" s="837">
        <v>6</v>
      </c>
      <c r="K24" s="837">
        <v>7</v>
      </c>
      <c r="L24" s="837">
        <v>8</v>
      </c>
      <c r="M24" s="837">
        <v>9</v>
      </c>
      <c r="N24" s="837">
        <v>10</v>
      </c>
      <c r="O24" s="837">
        <v>11</v>
      </c>
      <c r="P24" s="837">
        <v>12</v>
      </c>
      <c r="Q24" s="837">
        <v>13</v>
      </c>
      <c r="R24" s="837">
        <v>14</v>
      </c>
      <c r="S24" s="837">
        <v>15</v>
      </c>
      <c r="T24" s="837">
        <v>16</v>
      </c>
      <c r="U24" s="837">
        <v>17</v>
      </c>
      <c r="V24" s="837">
        <v>18</v>
      </c>
      <c r="W24" s="837">
        <v>19</v>
      </c>
      <c r="X24" s="837">
        <v>20</v>
      </c>
      <c r="Y24" s="837">
        <v>21</v>
      </c>
      <c r="Z24" s="837">
        <v>22</v>
      </c>
      <c r="AA24" s="837">
        <v>23</v>
      </c>
      <c r="AB24" s="837">
        <v>24</v>
      </c>
      <c r="AC24" s="837">
        <v>25</v>
      </c>
      <c r="AD24" s="837">
        <v>26</v>
      </c>
      <c r="AE24" s="837">
        <v>27</v>
      </c>
      <c r="AF24" s="837">
        <v>28</v>
      </c>
      <c r="AG24" s="837">
        <f>IF(MONTH(DATE($A24,B24,AF24+1))=B24,AF24+1,"")</f>
        <v>29</v>
      </c>
      <c r="AH24" s="837">
        <f t="shared" ref="AH24" si="7">IF(B24&lt;&gt;2,IF(AG24&lt;&gt;"",AG24+1,""),"")</f>
        <v>30</v>
      </c>
      <c r="AI24" s="838">
        <f t="shared" ref="AI24" si="8">IF(OR(B24=1,B24=3,B24=5,B24=7,B24=8,B24=10,B24=12),AH24+1,"")</f>
        <v>31</v>
      </c>
      <c r="AJ24" s="1855" t="s">
        <v>19</v>
      </c>
      <c r="AK24" s="467"/>
      <c r="AL24" s="1854" t="s">
        <v>382</v>
      </c>
      <c r="AM24" s="1854"/>
      <c r="AN24" s="468">
        <v>1</v>
      </c>
      <c r="AO24" s="468">
        <v>2</v>
      </c>
      <c r="AP24" s="468">
        <v>3</v>
      </c>
      <c r="AQ24" s="468">
        <v>4</v>
      </c>
      <c r="AR24" s="468">
        <v>5</v>
      </c>
      <c r="AS24" s="468">
        <v>6</v>
      </c>
      <c r="AT24" s="468">
        <v>7</v>
      </c>
      <c r="AU24" s="468">
        <v>8</v>
      </c>
      <c r="AV24" s="468">
        <v>9</v>
      </c>
      <c r="AW24" s="468">
        <v>10</v>
      </c>
      <c r="AX24" s="468">
        <v>11</v>
      </c>
      <c r="AY24" s="468">
        <v>12</v>
      </c>
      <c r="AZ24" s="468">
        <v>13</v>
      </c>
      <c r="BA24" s="468">
        <v>14</v>
      </c>
      <c r="BB24" s="468">
        <v>15</v>
      </c>
      <c r="BC24" s="468">
        <v>16</v>
      </c>
      <c r="BD24" s="468">
        <v>17</v>
      </c>
      <c r="BE24" s="468">
        <v>18</v>
      </c>
      <c r="BF24" s="468">
        <v>19</v>
      </c>
      <c r="BG24" s="468">
        <v>20</v>
      </c>
      <c r="BH24" s="468">
        <v>21</v>
      </c>
      <c r="BI24" s="468">
        <v>22</v>
      </c>
      <c r="BJ24" s="468">
        <v>23</v>
      </c>
      <c r="BK24" s="468">
        <v>24</v>
      </c>
      <c r="BL24" s="468">
        <v>25</v>
      </c>
      <c r="BM24" s="468">
        <v>26</v>
      </c>
      <c r="BN24" s="468">
        <v>27</v>
      </c>
      <c r="BO24" s="468">
        <v>28</v>
      </c>
      <c r="BP24" s="468">
        <v>29</v>
      </c>
      <c r="BQ24" s="468">
        <v>30</v>
      </c>
      <c r="BR24" s="468">
        <v>31</v>
      </c>
    </row>
    <row r="25" spans="1:70" ht="12" customHeight="1">
      <c r="A25" s="1857"/>
      <c r="B25" s="1859"/>
      <c r="C25" s="1847"/>
      <c r="D25" s="485" t="s">
        <v>383</v>
      </c>
      <c r="E25" s="978" t="str">
        <f t="shared" ref="E25:AI25" si="9">IF(E24&lt;&gt;"",HLOOKUP(WEEKDAY(DATE($A24,$B24,E24)),$AP$1:$AV$2,2,FALSE),"")</f>
        <v>（火）</v>
      </c>
      <c r="F25" s="980" t="str">
        <f t="shared" si="9"/>
        <v>（水）</v>
      </c>
      <c r="G25" s="980" t="str">
        <f t="shared" si="9"/>
        <v>（木）</v>
      </c>
      <c r="H25" s="980" t="str">
        <f t="shared" si="9"/>
        <v>（金）</v>
      </c>
      <c r="I25" s="980" t="str">
        <f t="shared" si="9"/>
        <v>（土）</v>
      </c>
      <c r="J25" s="980" t="str">
        <f t="shared" si="9"/>
        <v>（日）</v>
      </c>
      <c r="K25" s="980" t="str">
        <f t="shared" si="9"/>
        <v>（月）</v>
      </c>
      <c r="L25" s="980" t="str">
        <f t="shared" si="9"/>
        <v>（火）</v>
      </c>
      <c r="M25" s="980" t="str">
        <f t="shared" si="9"/>
        <v>（水）</v>
      </c>
      <c r="N25" s="980" t="str">
        <f t="shared" si="9"/>
        <v>（木）</v>
      </c>
      <c r="O25" s="980" t="str">
        <f t="shared" si="9"/>
        <v>（金）</v>
      </c>
      <c r="P25" s="980" t="str">
        <f t="shared" si="9"/>
        <v>（土）</v>
      </c>
      <c r="Q25" s="980" t="str">
        <f t="shared" si="9"/>
        <v>（日）</v>
      </c>
      <c r="R25" s="980" t="str">
        <f t="shared" si="9"/>
        <v>（月）</v>
      </c>
      <c r="S25" s="980" t="str">
        <f t="shared" si="9"/>
        <v>（火）</v>
      </c>
      <c r="T25" s="980" t="str">
        <f t="shared" si="9"/>
        <v>（水）</v>
      </c>
      <c r="U25" s="980" t="str">
        <f t="shared" si="9"/>
        <v>（木）</v>
      </c>
      <c r="V25" s="980" t="str">
        <f t="shared" si="9"/>
        <v>（金）</v>
      </c>
      <c r="W25" s="980" t="str">
        <f t="shared" si="9"/>
        <v>（土）</v>
      </c>
      <c r="X25" s="980" t="str">
        <f t="shared" si="9"/>
        <v>（日）</v>
      </c>
      <c r="Y25" s="980" t="str">
        <f t="shared" si="9"/>
        <v>（月）</v>
      </c>
      <c r="Z25" s="980" t="str">
        <f t="shared" si="9"/>
        <v>（火）</v>
      </c>
      <c r="AA25" s="980" t="str">
        <f t="shared" si="9"/>
        <v>（水）</v>
      </c>
      <c r="AB25" s="980" t="str">
        <f t="shared" si="9"/>
        <v>（木）</v>
      </c>
      <c r="AC25" s="980" t="str">
        <f t="shared" si="9"/>
        <v>（金）</v>
      </c>
      <c r="AD25" s="980" t="str">
        <f t="shared" si="9"/>
        <v>（土）</v>
      </c>
      <c r="AE25" s="980" t="str">
        <f t="shared" si="9"/>
        <v>（日）</v>
      </c>
      <c r="AF25" s="980" t="str">
        <f t="shared" si="9"/>
        <v>（月）</v>
      </c>
      <c r="AG25" s="980" t="str">
        <f t="shared" si="9"/>
        <v>（火）</v>
      </c>
      <c r="AH25" s="980" t="str">
        <f t="shared" si="9"/>
        <v>（水）</v>
      </c>
      <c r="AI25" s="979" t="str">
        <f t="shared" si="9"/>
        <v>（木）</v>
      </c>
      <c r="AJ25" s="1856"/>
      <c r="AK25" s="467"/>
      <c r="AL25" s="1854" t="s">
        <v>410</v>
      </c>
      <c r="AM25" s="1854"/>
      <c r="AN25" s="468" t="str">
        <f>IF(E24&lt;&gt;"",IF(OR(WEEKDAY(DATE($A24,$B24,E24),2)&gt;6,COUNTIF('休日情報(要更新)'!$A$5:$J$32,DATE($A24,$B24,E24)) &gt;=1),"○",IF(WEEKDAY(DATE($A24,$B24,E24),2)=6,"●","")),"×")</f>
        <v/>
      </c>
      <c r="AO25" s="468" t="str">
        <f>IF(F24&lt;&gt;"",IF(OR(WEEKDAY(DATE($A24,$B24,F24),2)&gt;6,COUNTIF('休日情報(要更新)'!$A$5:$J$32,DATE($A24,$B24,F24)) &gt;=1),"○",IF(WEEKDAY(DATE($A24,$B24,F24),2)=6,"●","")),"×")</f>
        <v/>
      </c>
      <c r="AP25" s="468" t="str">
        <f>IF(G24&lt;&gt;"",IF(OR(WEEKDAY(DATE($A24,$B24,G24),2)&gt;6,COUNTIF('休日情報(要更新)'!$A$5:$J$32,DATE($A24,$B24,G24)) &gt;=1),"○",IF(WEEKDAY(DATE($A24,$B24,G24),2)=6,"●","")),"×")</f>
        <v/>
      </c>
      <c r="AQ25" s="468" t="str">
        <f>IF(H24&lt;&gt;"",IF(OR(WEEKDAY(DATE($A24,$B24,H24),2)&gt;6,COUNTIF('休日情報(要更新)'!$A$5:$J$32,DATE($A24,$B24,H24)) &gt;=1),"○",IF(WEEKDAY(DATE($A24,$B24,H24),2)=6,"●","")),"×")</f>
        <v/>
      </c>
      <c r="AR25" s="468" t="str">
        <f>IF(I24&lt;&gt;"",IF(OR(WEEKDAY(DATE($A24,$B24,I24),2)&gt;6,COUNTIF('休日情報(要更新)'!$A$5:$J$32,DATE($A24,$B24,I24)) &gt;=1),"○",IF(WEEKDAY(DATE($A24,$B24,I24),2)=6,"●","")),"×")</f>
        <v>●</v>
      </c>
      <c r="AS25" s="468" t="str">
        <f>IF(J24&lt;&gt;"",IF(OR(WEEKDAY(DATE($A24,$B24,J24),2)&gt;6,COUNTIF('休日情報(要更新)'!$A$5:$J$32,DATE($A24,$B24,J24)) &gt;=1),"○",IF(WEEKDAY(DATE($A24,$B24,J24),2)=6,"●","")),"×")</f>
        <v>○</v>
      </c>
      <c r="AT25" s="468" t="str">
        <f>IF(K24&lt;&gt;"",IF(OR(WEEKDAY(DATE($A24,$B24,K24),2)&gt;6,COUNTIF('休日情報(要更新)'!$A$5:$J$32,DATE($A24,$B24,K24)) &gt;=1),"○",IF(WEEKDAY(DATE($A24,$B24,K24),2)=6,"●","")),"×")</f>
        <v/>
      </c>
      <c r="AU25" s="468" t="str">
        <f>IF(L24&lt;&gt;"",IF(OR(WEEKDAY(DATE($A24,$B24,L24),2)&gt;6,COUNTIF('休日情報(要更新)'!$A$5:$J$32,DATE($A24,$B24,L24)) &gt;=1),"○",IF(WEEKDAY(DATE($A24,$B24,L24),2)=6,"●","")),"×")</f>
        <v/>
      </c>
      <c r="AV25" s="468" t="str">
        <f>IF(M24&lt;&gt;"",IF(OR(WEEKDAY(DATE($A24,$B24,M24),2)&gt;6,COUNTIF('休日情報(要更新)'!$A$5:$J$32,DATE($A24,$B24,M24)) &gt;=1),"○",IF(WEEKDAY(DATE($A24,$B24,M24),2)=6,"●","")),"×")</f>
        <v/>
      </c>
      <c r="AW25" s="468" t="str">
        <f>IF(N24&lt;&gt;"",IF(OR(WEEKDAY(DATE($A24,$B24,N24),2)&gt;6,COUNTIF('休日情報(要更新)'!$A$5:$J$32,DATE($A24,$B24,N24)) &gt;=1),"○",IF(WEEKDAY(DATE($A24,$B24,N24),2)=6,"●","")),"×")</f>
        <v/>
      </c>
      <c r="AX25" s="468" t="str">
        <f>IF(O24&lt;&gt;"",IF(OR(WEEKDAY(DATE($A24,$B24,O24),2)&gt;6,COUNTIF('休日情報(要更新)'!$A$5:$J$32,DATE($A24,$B24,O24)) &gt;=1),"○",IF(WEEKDAY(DATE($A24,$B24,O24),2)=6,"●","")),"×")</f>
        <v/>
      </c>
      <c r="AY25" s="468" t="str">
        <f>IF(P24&lt;&gt;"",IF(OR(WEEKDAY(DATE($A24,$B24,P24),2)&gt;6,COUNTIF('休日情報(要更新)'!$A$5:$J$32,DATE($A24,$B24,P24)) &gt;=1),"○",IF(WEEKDAY(DATE($A24,$B24,P24),2)=6,"●","")),"×")</f>
        <v>●</v>
      </c>
      <c r="AZ25" s="468" t="str">
        <f>IF(Q24&lt;&gt;"",IF(OR(WEEKDAY(DATE($A24,$B24,Q24),2)&gt;6,COUNTIF('休日情報(要更新)'!$A$5:$J$32,DATE($A24,$B24,Q24)) &gt;=1),"○",IF(WEEKDAY(DATE($A24,$B24,Q24),2)=6,"●","")),"×")</f>
        <v>○</v>
      </c>
      <c r="BA25" s="468" t="str">
        <f>IF(R24&lt;&gt;"",IF(OR(WEEKDAY(DATE($A24,$B24,R24),2)&gt;6,COUNTIF('休日情報(要更新)'!$A$5:$J$32,DATE($A24,$B24,R24)) &gt;=1),"○",IF(WEEKDAY(DATE($A24,$B24,R24),2)=6,"●","")),"×")</f>
        <v/>
      </c>
      <c r="BB25" s="468" t="str">
        <f>IF(S24&lt;&gt;"",IF(OR(WEEKDAY(DATE($A24,$B24,S24),2)&gt;6,COUNTIF('休日情報(要更新)'!$A$5:$J$32,DATE($A24,$B24,S24)) &gt;=1),"○",IF(WEEKDAY(DATE($A24,$B24,S24),2)=6,"●","")),"×")</f>
        <v/>
      </c>
      <c r="BC25" s="468" t="str">
        <f>IF(T24&lt;&gt;"",IF(OR(WEEKDAY(DATE($A24,$B24,T24),2)&gt;6,COUNTIF('休日情報(要更新)'!$A$5:$J$32,DATE($A24,$B24,T24)) &gt;=1),"○",IF(WEEKDAY(DATE($A24,$B24,T24),2)=6,"●","")),"×")</f>
        <v/>
      </c>
      <c r="BD25" s="468" t="str">
        <f>IF(U24&lt;&gt;"",IF(OR(WEEKDAY(DATE($A24,$B24,U24),2)&gt;6,COUNTIF('休日情報(要更新)'!$A$5:$J$32,DATE($A24,$B24,U24)) &gt;=1),"○",IF(WEEKDAY(DATE($A24,$B24,U24),2)=6,"●","")),"×")</f>
        <v/>
      </c>
      <c r="BE25" s="468" t="str">
        <f>IF(V24&lt;&gt;"",IF(OR(WEEKDAY(DATE($A24,$B24,V24),2)&gt;6,COUNTIF('休日情報(要更新)'!$A$5:$J$32,DATE($A24,$B24,V24)) &gt;=1),"○",IF(WEEKDAY(DATE($A24,$B24,V24),2)=6,"●","")),"×")</f>
        <v/>
      </c>
      <c r="BF25" s="468" t="str">
        <f>IF(W24&lt;&gt;"",IF(OR(WEEKDAY(DATE($A24,$B24,W24),2)&gt;6,COUNTIF('休日情報(要更新)'!$A$5:$J$32,DATE($A24,$B24,W24)) &gt;=1),"○",IF(WEEKDAY(DATE($A24,$B24,W24),2)=6,"●","")),"×")</f>
        <v>●</v>
      </c>
      <c r="BG25" s="468" t="str">
        <f>IF(X24&lt;&gt;"",IF(OR(WEEKDAY(DATE($A24,$B24,X24),2)&gt;6,COUNTIF('休日情報(要更新)'!$A$5:$J$32,DATE($A24,$B24,X24)) &gt;=1),"○",IF(WEEKDAY(DATE($A24,$B24,X24),2)=6,"●","")),"×")</f>
        <v>○</v>
      </c>
      <c r="BH25" s="468" t="str">
        <f>IF(Y24&lt;&gt;"",IF(OR(WEEKDAY(DATE($A24,$B24,Y24),2)&gt;6,COUNTIF('休日情報(要更新)'!$A$5:$J$32,DATE($A24,$B24,Y24)) &gt;=1),"○",IF(WEEKDAY(DATE($A24,$B24,Y24),2)=6,"●","")),"×")</f>
        <v>○</v>
      </c>
      <c r="BI25" s="468" t="str">
        <f>IF(Z24&lt;&gt;"",IF(OR(WEEKDAY(DATE($A24,$B24,Z24),2)&gt;6,COUNTIF('休日情報(要更新)'!$A$5:$J$32,DATE($A24,$B24,Z24)) &gt;=1),"○",IF(WEEKDAY(DATE($A24,$B24,Z24),2)=6,"●","")),"×")</f>
        <v/>
      </c>
      <c r="BJ25" s="468" t="str">
        <f>IF(AA24&lt;&gt;"",IF(OR(WEEKDAY(DATE($A24,$B24,AA24),2)&gt;6,COUNTIF('休日情報(要更新)'!$A$5:$J$32,DATE($A24,$B24,AA24)) &gt;=1),"○",IF(WEEKDAY(DATE($A24,$B24,AA24),2)=6,"●","")),"×")</f>
        <v/>
      </c>
      <c r="BK25" s="468" t="str">
        <f>IF(AB24&lt;&gt;"",IF(OR(WEEKDAY(DATE($A24,$B24,AB24),2)&gt;6,COUNTIF('休日情報(要更新)'!$A$5:$J$32,DATE($A24,$B24,AB24)) &gt;=1),"○",IF(WEEKDAY(DATE($A24,$B24,AB24),2)=6,"●","")),"×")</f>
        <v/>
      </c>
      <c r="BL25" s="468" t="str">
        <f>IF(AC24&lt;&gt;"",IF(OR(WEEKDAY(DATE($A24,$B24,AC24),2)&gt;6,COUNTIF('休日情報(要更新)'!$A$5:$J$32,DATE($A24,$B24,AC24)) &gt;=1),"○",IF(WEEKDAY(DATE($A24,$B24,AC24),2)=6,"●","")),"×")</f>
        <v/>
      </c>
      <c r="BM25" s="468" t="str">
        <f>IF(AD24&lt;&gt;"",IF(OR(WEEKDAY(DATE($A24,$B24,AD24),2)&gt;6,COUNTIF('休日情報(要更新)'!$A$5:$J$32,DATE($A24,$B24,AD24)) &gt;=1),"○",IF(WEEKDAY(DATE($A24,$B24,AD24),2)=6,"●","")),"×")</f>
        <v>●</v>
      </c>
      <c r="BN25" s="468" t="str">
        <f>IF(AE24&lt;&gt;"",IF(OR(WEEKDAY(DATE($A24,$B24,AE24),2)&gt;6,COUNTIF('休日情報(要更新)'!$A$5:$J$32,DATE($A24,$B24,AE24)) &gt;=1),"○",IF(WEEKDAY(DATE($A24,$B24,AE24),2)=6,"●","")),"×")</f>
        <v>○</v>
      </c>
      <c r="BO25" s="468" t="str">
        <f>IF(AF24&lt;&gt;"",IF(OR(WEEKDAY(DATE($A24,$B24,AF24),2)&gt;6,COUNTIF('休日情報(要更新)'!$A$5:$J$32,DATE($A24,$B24,AF24)) &gt;=1),"○",IF(WEEKDAY(DATE($A24,$B24,AF24),2)=6,"●","")),"×")</f>
        <v/>
      </c>
      <c r="BP25" s="468" t="str">
        <f>IF(AG24&lt;&gt;"",IF(OR(WEEKDAY(DATE($A24,$B24,AG24),2)&gt;6,COUNTIF('休日情報(要更新)'!$A$5:$J$32,DATE($A24,$B24,AG24)) &gt;=1),"○",IF(WEEKDAY(DATE($A24,$B24,AG24),2)=6,"●","")),"×")</f>
        <v/>
      </c>
      <c r="BQ25" s="468" t="str">
        <f>IF(AH24&lt;&gt;"",IF(OR(WEEKDAY(DATE($A24,$B24,AH24),2)&gt;6,COUNTIF('休日情報(要更新)'!$A$5:$J$32,DATE($A24,$B24,AH24)) &gt;=1),"○",IF(WEEKDAY(DATE($A24,$B24,AH24),2)=6,"●","")),"×")</f>
        <v/>
      </c>
      <c r="BR25" s="468" t="str">
        <f>IF(AI24&lt;&gt;"",IF(OR(WEEKDAY(DATE($A24,$B24,AI24),2)&gt;6,COUNTIF('休日情報(要更新)'!$A$5:$J$32,DATE($A24,$B24,AI24)) &gt;=1),"○",IF(WEEKDAY(DATE($A24,$B24,AI24),2)=6,"●","")),"×")</f>
        <v/>
      </c>
    </row>
    <row r="26" spans="1:70" ht="12" customHeight="1">
      <c r="A26" s="1857"/>
      <c r="B26" s="1859"/>
      <c r="C26" s="1848"/>
      <c r="D26" s="486" t="s">
        <v>557</v>
      </c>
      <c r="E26" s="469"/>
      <c r="F26" s="470"/>
      <c r="G26" s="470"/>
      <c r="H26" s="470"/>
      <c r="I26" s="470"/>
      <c r="J26" s="470"/>
      <c r="K26" s="470"/>
      <c r="L26" s="470"/>
      <c r="M26" s="470"/>
      <c r="N26" s="470"/>
      <c r="O26" s="470"/>
      <c r="P26" s="470"/>
      <c r="Q26" s="470"/>
      <c r="R26" s="470"/>
      <c r="S26" s="470"/>
      <c r="T26" s="470"/>
      <c r="U26" s="470"/>
      <c r="V26" s="470"/>
      <c r="W26" s="470"/>
      <c r="X26" s="470"/>
      <c r="Y26" s="470"/>
      <c r="Z26" s="470"/>
      <c r="AA26" s="470"/>
      <c r="AB26" s="470"/>
      <c r="AC26" s="470"/>
      <c r="AD26" s="470"/>
      <c r="AE26" s="470"/>
      <c r="AF26" s="470"/>
      <c r="AG26" s="470"/>
      <c r="AH26" s="470"/>
      <c r="AI26" s="471"/>
      <c r="AJ26" s="472">
        <f>COUNTIFS(AN25:BR25,"",E26:AI26,"○")</f>
        <v>0</v>
      </c>
      <c r="AK26" s="473"/>
    </row>
    <row r="27" spans="1:70" ht="12.75" customHeight="1">
      <c r="A27" s="1857"/>
      <c r="B27" s="1859"/>
      <c r="C27" s="1849"/>
      <c r="D27" s="832" t="s">
        <v>558</v>
      </c>
      <c r="E27" s="833"/>
      <c r="F27" s="830"/>
      <c r="G27" s="830"/>
      <c r="H27" s="830"/>
      <c r="I27" s="830"/>
      <c r="J27" s="830"/>
      <c r="K27" s="830"/>
      <c r="L27" s="830"/>
      <c r="M27" s="830"/>
      <c r="N27" s="830"/>
      <c r="O27" s="830"/>
      <c r="P27" s="830"/>
      <c r="Q27" s="830"/>
      <c r="R27" s="830"/>
      <c r="S27" s="830"/>
      <c r="T27" s="830"/>
      <c r="U27" s="830"/>
      <c r="V27" s="830"/>
      <c r="W27" s="830"/>
      <c r="X27" s="830"/>
      <c r="Y27" s="830"/>
      <c r="Z27" s="830"/>
      <c r="AA27" s="830"/>
      <c r="AB27" s="830"/>
      <c r="AC27" s="830"/>
      <c r="AD27" s="830"/>
      <c r="AE27" s="830"/>
      <c r="AF27" s="830"/>
      <c r="AG27" s="830"/>
      <c r="AH27" s="830"/>
      <c r="AI27" s="831"/>
      <c r="AJ27" s="834">
        <f>COUNTIFS(E26:AI26,"○",AN25:BR25,"",E27:AI27,"○")</f>
        <v>0</v>
      </c>
    </row>
    <row r="28" spans="1:70" ht="12.75" customHeight="1">
      <c r="A28" s="967"/>
      <c r="B28" s="1860"/>
      <c r="C28" s="1846"/>
      <c r="D28" s="487" t="s">
        <v>943</v>
      </c>
      <c r="E28" s="475"/>
      <c r="F28" s="476"/>
      <c r="G28" s="476"/>
      <c r="H28" s="476"/>
      <c r="I28" s="476"/>
      <c r="J28" s="476"/>
      <c r="K28" s="476"/>
      <c r="L28" s="476"/>
      <c r="M28" s="476"/>
      <c r="N28" s="476"/>
      <c r="O28" s="476"/>
      <c r="P28" s="476"/>
      <c r="Q28" s="476"/>
      <c r="R28" s="476"/>
      <c r="S28" s="476"/>
      <c r="T28" s="476"/>
      <c r="U28" s="476"/>
      <c r="V28" s="476"/>
      <c r="W28" s="476"/>
      <c r="X28" s="476"/>
      <c r="Y28" s="476"/>
      <c r="Z28" s="476"/>
      <c r="AA28" s="476"/>
      <c r="AB28" s="476"/>
      <c r="AC28" s="476"/>
      <c r="AD28" s="476"/>
      <c r="AE28" s="476"/>
      <c r="AF28" s="476"/>
      <c r="AG28" s="476"/>
      <c r="AH28" s="476"/>
      <c r="AI28" s="477"/>
      <c r="AJ28" s="478">
        <f>COUNTIFS(E26:AI26,"○",AN25:BR25,"",E27:AI27,"○",E28:AI28,"○")</f>
        <v>0</v>
      </c>
    </row>
    <row r="29" spans="1:70" ht="12" customHeight="1">
      <c r="A29" s="1857">
        <f>IF($AN$7=0,#REF!,$AN$7)+IF(AND($B29&gt;=1,$B29&lt;=3),1,0)</f>
        <v>2025</v>
      </c>
      <c r="B29" s="1858">
        <v>8</v>
      </c>
      <c r="C29" s="1846" t="s">
        <v>947</v>
      </c>
      <c r="D29" s="835" t="s">
        <v>547</v>
      </c>
      <c r="E29" s="836">
        <v>1</v>
      </c>
      <c r="F29" s="837">
        <v>2</v>
      </c>
      <c r="G29" s="837">
        <v>3</v>
      </c>
      <c r="H29" s="837">
        <v>4</v>
      </c>
      <c r="I29" s="837">
        <v>5</v>
      </c>
      <c r="J29" s="837">
        <v>6</v>
      </c>
      <c r="K29" s="837">
        <v>7</v>
      </c>
      <c r="L29" s="837">
        <v>8</v>
      </c>
      <c r="M29" s="837">
        <v>9</v>
      </c>
      <c r="N29" s="837">
        <v>10</v>
      </c>
      <c r="O29" s="837">
        <v>11</v>
      </c>
      <c r="P29" s="837">
        <v>12</v>
      </c>
      <c r="Q29" s="837">
        <v>13</v>
      </c>
      <c r="R29" s="837">
        <v>14</v>
      </c>
      <c r="S29" s="837">
        <v>15</v>
      </c>
      <c r="T29" s="837">
        <v>16</v>
      </c>
      <c r="U29" s="837">
        <v>17</v>
      </c>
      <c r="V29" s="837">
        <v>18</v>
      </c>
      <c r="W29" s="837">
        <v>19</v>
      </c>
      <c r="X29" s="837">
        <v>20</v>
      </c>
      <c r="Y29" s="837">
        <v>21</v>
      </c>
      <c r="Z29" s="837">
        <v>22</v>
      </c>
      <c r="AA29" s="837">
        <v>23</v>
      </c>
      <c r="AB29" s="837">
        <v>24</v>
      </c>
      <c r="AC29" s="837">
        <v>25</v>
      </c>
      <c r="AD29" s="837">
        <v>26</v>
      </c>
      <c r="AE29" s="837">
        <v>27</v>
      </c>
      <c r="AF29" s="837">
        <v>28</v>
      </c>
      <c r="AG29" s="837">
        <f>IF(MONTH(DATE($A29,B29,AF29+1))=B29,AF29+1,"")</f>
        <v>29</v>
      </c>
      <c r="AH29" s="837">
        <f t="shared" ref="AH29" si="10">IF(B29&lt;&gt;2,IF(AG29&lt;&gt;"",AG29+1,""),"")</f>
        <v>30</v>
      </c>
      <c r="AI29" s="838">
        <f t="shared" ref="AI29" si="11">IF(OR(B29=1,B29=3,B29=5,B29=7,B29=8,B29=10,B29=12),AH29+1,"")</f>
        <v>31</v>
      </c>
      <c r="AJ29" s="1855" t="s">
        <v>19</v>
      </c>
      <c r="AK29" s="467"/>
      <c r="AL29" s="1854" t="s">
        <v>382</v>
      </c>
      <c r="AM29" s="1854"/>
      <c r="AN29" s="468">
        <v>1</v>
      </c>
      <c r="AO29" s="468">
        <v>2</v>
      </c>
      <c r="AP29" s="468">
        <v>3</v>
      </c>
      <c r="AQ29" s="468">
        <v>4</v>
      </c>
      <c r="AR29" s="468">
        <v>5</v>
      </c>
      <c r="AS29" s="468">
        <v>6</v>
      </c>
      <c r="AT29" s="468">
        <v>7</v>
      </c>
      <c r="AU29" s="468">
        <v>8</v>
      </c>
      <c r="AV29" s="468">
        <v>9</v>
      </c>
      <c r="AW29" s="468">
        <v>10</v>
      </c>
      <c r="AX29" s="468">
        <v>11</v>
      </c>
      <c r="AY29" s="468">
        <v>12</v>
      </c>
      <c r="AZ29" s="468">
        <v>13</v>
      </c>
      <c r="BA29" s="468">
        <v>14</v>
      </c>
      <c r="BB29" s="468">
        <v>15</v>
      </c>
      <c r="BC29" s="468">
        <v>16</v>
      </c>
      <c r="BD29" s="468">
        <v>17</v>
      </c>
      <c r="BE29" s="468">
        <v>18</v>
      </c>
      <c r="BF29" s="468">
        <v>19</v>
      </c>
      <c r="BG29" s="468">
        <v>20</v>
      </c>
      <c r="BH29" s="468">
        <v>21</v>
      </c>
      <c r="BI29" s="468">
        <v>22</v>
      </c>
      <c r="BJ29" s="468">
        <v>23</v>
      </c>
      <c r="BK29" s="468">
        <v>24</v>
      </c>
      <c r="BL29" s="468">
        <v>25</v>
      </c>
      <c r="BM29" s="468">
        <v>26</v>
      </c>
      <c r="BN29" s="468">
        <v>27</v>
      </c>
      <c r="BO29" s="468">
        <v>28</v>
      </c>
      <c r="BP29" s="468">
        <v>29</v>
      </c>
      <c r="BQ29" s="468">
        <v>30</v>
      </c>
      <c r="BR29" s="468">
        <v>31</v>
      </c>
    </row>
    <row r="30" spans="1:70" ht="12" customHeight="1">
      <c r="A30" s="1857"/>
      <c r="B30" s="1859"/>
      <c r="C30" s="1847"/>
      <c r="D30" s="485" t="s">
        <v>383</v>
      </c>
      <c r="E30" s="978" t="str">
        <f t="shared" ref="E30:AI30" si="12">IF(E29&lt;&gt;"",HLOOKUP(WEEKDAY(DATE($A29,$B29,E29)),$AP$1:$AV$2,2,FALSE),"")</f>
        <v>（金）</v>
      </c>
      <c r="F30" s="980" t="str">
        <f t="shared" si="12"/>
        <v>（土）</v>
      </c>
      <c r="G30" s="980" t="str">
        <f t="shared" si="12"/>
        <v>（日）</v>
      </c>
      <c r="H30" s="980" t="str">
        <f t="shared" si="12"/>
        <v>（月）</v>
      </c>
      <c r="I30" s="980" t="str">
        <f t="shared" si="12"/>
        <v>（火）</v>
      </c>
      <c r="J30" s="980" t="str">
        <f t="shared" si="12"/>
        <v>（水）</v>
      </c>
      <c r="K30" s="980" t="str">
        <f t="shared" si="12"/>
        <v>（木）</v>
      </c>
      <c r="L30" s="980" t="str">
        <f t="shared" si="12"/>
        <v>（金）</v>
      </c>
      <c r="M30" s="980" t="str">
        <f t="shared" si="12"/>
        <v>（土）</v>
      </c>
      <c r="N30" s="980" t="str">
        <f t="shared" si="12"/>
        <v>（日）</v>
      </c>
      <c r="O30" s="980" t="str">
        <f t="shared" si="12"/>
        <v>（月）</v>
      </c>
      <c r="P30" s="980" t="str">
        <f t="shared" si="12"/>
        <v>（火）</v>
      </c>
      <c r="Q30" s="980" t="str">
        <f t="shared" si="12"/>
        <v>（水）</v>
      </c>
      <c r="R30" s="980" t="str">
        <f t="shared" si="12"/>
        <v>（木）</v>
      </c>
      <c r="S30" s="980" t="str">
        <f t="shared" si="12"/>
        <v>（金）</v>
      </c>
      <c r="T30" s="980" t="str">
        <f t="shared" si="12"/>
        <v>（土）</v>
      </c>
      <c r="U30" s="980" t="str">
        <f t="shared" si="12"/>
        <v>（日）</v>
      </c>
      <c r="V30" s="980" t="str">
        <f t="shared" si="12"/>
        <v>（月）</v>
      </c>
      <c r="W30" s="980" t="str">
        <f t="shared" si="12"/>
        <v>（火）</v>
      </c>
      <c r="X30" s="980" t="str">
        <f t="shared" si="12"/>
        <v>（水）</v>
      </c>
      <c r="Y30" s="980" t="str">
        <f t="shared" si="12"/>
        <v>（木）</v>
      </c>
      <c r="Z30" s="980" t="str">
        <f t="shared" si="12"/>
        <v>（金）</v>
      </c>
      <c r="AA30" s="980" t="str">
        <f t="shared" si="12"/>
        <v>（土）</v>
      </c>
      <c r="AB30" s="980" t="str">
        <f t="shared" si="12"/>
        <v>（日）</v>
      </c>
      <c r="AC30" s="980" t="str">
        <f t="shared" si="12"/>
        <v>（月）</v>
      </c>
      <c r="AD30" s="980" t="str">
        <f t="shared" si="12"/>
        <v>（火）</v>
      </c>
      <c r="AE30" s="980" t="str">
        <f t="shared" si="12"/>
        <v>（水）</v>
      </c>
      <c r="AF30" s="980" t="str">
        <f t="shared" si="12"/>
        <v>（木）</v>
      </c>
      <c r="AG30" s="980" t="str">
        <f t="shared" si="12"/>
        <v>（金）</v>
      </c>
      <c r="AH30" s="980" t="str">
        <f t="shared" si="12"/>
        <v>（土）</v>
      </c>
      <c r="AI30" s="979" t="str">
        <f t="shared" si="12"/>
        <v>（日）</v>
      </c>
      <c r="AJ30" s="1856"/>
      <c r="AK30" s="467"/>
      <c r="AL30" s="1854" t="s">
        <v>410</v>
      </c>
      <c r="AM30" s="1854"/>
      <c r="AN30" s="468" t="str">
        <f>IF(E29&lt;&gt;"",IF(OR(WEEKDAY(DATE($A29,$B29,E29),2)&gt;6,COUNTIF('休日情報(要更新)'!$A$5:$J$32,DATE($A29,$B29,E29)) &gt;=1),"○",IF(WEEKDAY(DATE($A29,$B29,E29),2)=6,"●","")),"×")</f>
        <v/>
      </c>
      <c r="AO30" s="468" t="str">
        <f>IF(F29&lt;&gt;"",IF(OR(WEEKDAY(DATE($A29,$B29,F29),2)&gt;6,COUNTIF('休日情報(要更新)'!$A$5:$J$32,DATE($A29,$B29,F29)) &gt;=1),"○",IF(WEEKDAY(DATE($A29,$B29,F29),2)=6,"●","")),"×")</f>
        <v>●</v>
      </c>
      <c r="AP30" s="468" t="str">
        <f>IF(G29&lt;&gt;"",IF(OR(WEEKDAY(DATE($A29,$B29,G29),2)&gt;6,COUNTIF('休日情報(要更新)'!$A$5:$J$32,DATE($A29,$B29,G29)) &gt;=1),"○",IF(WEEKDAY(DATE($A29,$B29,G29),2)=6,"●","")),"×")</f>
        <v>○</v>
      </c>
      <c r="AQ30" s="468" t="str">
        <f>IF(H29&lt;&gt;"",IF(OR(WEEKDAY(DATE($A29,$B29,H29),2)&gt;6,COUNTIF('休日情報(要更新)'!$A$5:$J$32,DATE($A29,$B29,H29)) &gt;=1),"○",IF(WEEKDAY(DATE($A29,$B29,H29),2)=6,"●","")),"×")</f>
        <v/>
      </c>
      <c r="AR30" s="468" t="str">
        <f>IF(I29&lt;&gt;"",IF(OR(WEEKDAY(DATE($A29,$B29,I29),2)&gt;6,COUNTIF('休日情報(要更新)'!$A$5:$J$32,DATE($A29,$B29,I29)) &gt;=1),"○",IF(WEEKDAY(DATE($A29,$B29,I29),2)=6,"●","")),"×")</f>
        <v/>
      </c>
      <c r="AS30" s="468" t="str">
        <f>IF(J29&lt;&gt;"",IF(OR(WEEKDAY(DATE($A29,$B29,J29),2)&gt;6,COUNTIF('休日情報(要更新)'!$A$5:$J$32,DATE($A29,$B29,J29)) &gt;=1),"○",IF(WEEKDAY(DATE($A29,$B29,J29),2)=6,"●","")),"×")</f>
        <v/>
      </c>
      <c r="AT30" s="468" t="str">
        <f>IF(K29&lt;&gt;"",IF(OR(WEEKDAY(DATE($A29,$B29,K29),2)&gt;6,COUNTIF('休日情報(要更新)'!$A$5:$J$32,DATE($A29,$B29,K29)) &gt;=1),"○",IF(WEEKDAY(DATE($A29,$B29,K29),2)=6,"●","")),"×")</f>
        <v/>
      </c>
      <c r="AU30" s="468" t="str">
        <f>IF(L29&lt;&gt;"",IF(OR(WEEKDAY(DATE($A29,$B29,L29),2)&gt;6,COUNTIF('休日情報(要更新)'!$A$5:$J$32,DATE($A29,$B29,L29)) &gt;=1),"○",IF(WEEKDAY(DATE($A29,$B29,L29),2)=6,"●","")),"×")</f>
        <v/>
      </c>
      <c r="AV30" s="468" t="str">
        <f>IF(M29&lt;&gt;"",IF(OR(WEEKDAY(DATE($A29,$B29,M29),2)&gt;6,COUNTIF('休日情報(要更新)'!$A$5:$J$32,DATE($A29,$B29,M29)) &gt;=1),"○",IF(WEEKDAY(DATE($A29,$B29,M29),2)=6,"●","")),"×")</f>
        <v>●</v>
      </c>
      <c r="AW30" s="468" t="str">
        <f>IF(N29&lt;&gt;"",IF(OR(WEEKDAY(DATE($A29,$B29,N29),2)&gt;6,COUNTIF('休日情報(要更新)'!$A$5:$J$32,DATE($A29,$B29,N29)) &gt;=1),"○",IF(WEEKDAY(DATE($A29,$B29,N29),2)=6,"●","")),"×")</f>
        <v>○</v>
      </c>
      <c r="AX30" s="468" t="str">
        <f>IF(O29&lt;&gt;"",IF(OR(WEEKDAY(DATE($A29,$B29,O29),2)&gt;6,COUNTIF('休日情報(要更新)'!$A$5:$J$32,DATE($A29,$B29,O29)) &gt;=1),"○",IF(WEEKDAY(DATE($A29,$B29,O29),2)=6,"●","")),"×")</f>
        <v>○</v>
      </c>
      <c r="AY30" s="468" t="str">
        <f>IF(P29&lt;&gt;"",IF(OR(WEEKDAY(DATE($A29,$B29,P29),2)&gt;6,COUNTIF('休日情報(要更新)'!$A$5:$J$32,DATE($A29,$B29,P29)) &gt;=1),"○",IF(WEEKDAY(DATE($A29,$B29,P29),2)=6,"●","")),"×")</f>
        <v/>
      </c>
      <c r="AZ30" s="468" t="str">
        <f>IF(Q29&lt;&gt;"",IF(OR(WEEKDAY(DATE($A29,$B29,Q29),2)&gt;6,COUNTIF('休日情報(要更新)'!$A$5:$J$32,DATE($A29,$B29,Q29)) &gt;=1),"○",IF(WEEKDAY(DATE($A29,$B29,Q29),2)=6,"●","")),"×")</f>
        <v/>
      </c>
      <c r="BA30" s="468" t="str">
        <f>IF(R29&lt;&gt;"",IF(OR(WEEKDAY(DATE($A29,$B29,R29),2)&gt;6,COUNTIF('休日情報(要更新)'!$A$5:$J$32,DATE($A29,$B29,R29)) &gt;=1),"○",IF(WEEKDAY(DATE($A29,$B29,R29),2)=6,"●","")),"×")</f>
        <v/>
      </c>
      <c r="BB30" s="468" t="str">
        <f>IF(S29&lt;&gt;"",IF(OR(WEEKDAY(DATE($A29,$B29,S29),2)&gt;6,COUNTIF('休日情報(要更新)'!$A$5:$J$32,DATE($A29,$B29,S29)) &gt;=1),"○",IF(WEEKDAY(DATE($A29,$B29,S29),2)=6,"●","")),"×")</f>
        <v/>
      </c>
      <c r="BC30" s="468" t="str">
        <f>IF(T29&lt;&gt;"",IF(OR(WEEKDAY(DATE($A29,$B29,T29),2)&gt;6,COUNTIF('休日情報(要更新)'!$A$5:$J$32,DATE($A29,$B29,T29)) &gt;=1),"○",IF(WEEKDAY(DATE($A29,$B29,T29),2)=6,"●","")),"×")</f>
        <v>●</v>
      </c>
      <c r="BD30" s="468" t="str">
        <f>IF(U29&lt;&gt;"",IF(OR(WEEKDAY(DATE($A29,$B29,U29),2)&gt;6,COUNTIF('休日情報(要更新)'!$A$5:$J$32,DATE($A29,$B29,U29)) &gt;=1),"○",IF(WEEKDAY(DATE($A29,$B29,U29),2)=6,"●","")),"×")</f>
        <v>○</v>
      </c>
      <c r="BE30" s="468" t="str">
        <f>IF(V29&lt;&gt;"",IF(OR(WEEKDAY(DATE($A29,$B29,V29),2)&gt;6,COUNTIF('休日情報(要更新)'!$A$5:$J$32,DATE($A29,$B29,V29)) &gt;=1),"○",IF(WEEKDAY(DATE($A29,$B29,V29),2)=6,"●","")),"×")</f>
        <v/>
      </c>
      <c r="BF30" s="468" t="str">
        <f>IF(W29&lt;&gt;"",IF(OR(WEEKDAY(DATE($A29,$B29,W29),2)&gt;6,COUNTIF('休日情報(要更新)'!$A$5:$J$32,DATE($A29,$B29,W29)) &gt;=1),"○",IF(WEEKDAY(DATE($A29,$B29,W29),2)=6,"●","")),"×")</f>
        <v/>
      </c>
      <c r="BG30" s="468" t="str">
        <f>IF(X29&lt;&gt;"",IF(OR(WEEKDAY(DATE($A29,$B29,X29),2)&gt;6,COUNTIF('休日情報(要更新)'!$A$5:$J$32,DATE($A29,$B29,X29)) &gt;=1),"○",IF(WEEKDAY(DATE($A29,$B29,X29),2)=6,"●","")),"×")</f>
        <v/>
      </c>
      <c r="BH30" s="468" t="str">
        <f>IF(Y29&lt;&gt;"",IF(OR(WEEKDAY(DATE($A29,$B29,Y29),2)&gt;6,COUNTIF('休日情報(要更新)'!$A$5:$J$32,DATE($A29,$B29,Y29)) &gt;=1),"○",IF(WEEKDAY(DATE($A29,$B29,Y29),2)=6,"●","")),"×")</f>
        <v/>
      </c>
      <c r="BI30" s="468" t="str">
        <f>IF(Z29&lt;&gt;"",IF(OR(WEEKDAY(DATE($A29,$B29,Z29),2)&gt;6,COUNTIF('休日情報(要更新)'!$A$5:$J$32,DATE($A29,$B29,Z29)) &gt;=1),"○",IF(WEEKDAY(DATE($A29,$B29,Z29),2)=6,"●","")),"×")</f>
        <v/>
      </c>
      <c r="BJ30" s="468" t="str">
        <f>IF(AA29&lt;&gt;"",IF(OR(WEEKDAY(DATE($A29,$B29,AA29),2)&gt;6,COUNTIF('休日情報(要更新)'!$A$5:$J$32,DATE($A29,$B29,AA29)) &gt;=1),"○",IF(WEEKDAY(DATE($A29,$B29,AA29),2)=6,"●","")),"×")</f>
        <v>●</v>
      </c>
      <c r="BK30" s="468" t="str">
        <f>IF(AB29&lt;&gt;"",IF(OR(WEEKDAY(DATE($A29,$B29,AB29),2)&gt;6,COUNTIF('休日情報(要更新)'!$A$5:$J$32,DATE($A29,$B29,AB29)) &gt;=1),"○",IF(WEEKDAY(DATE($A29,$B29,AB29),2)=6,"●","")),"×")</f>
        <v>○</v>
      </c>
      <c r="BL30" s="468" t="str">
        <f>IF(AC29&lt;&gt;"",IF(OR(WEEKDAY(DATE($A29,$B29,AC29),2)&gt;6,COUNTIF('休日情報(要更新)'!$A$5:$J$32,DATE($A29,$B29,AC29)) &gt;=1),"○",IF(WEEKDAY(DATE($A29,$B29,AC29),2)=6,"●","")),"×")</f>
        <v/>
      </c>
      <c r="BM30" s="468" t="str">
        <f>IF(AD29&lt;&gt;"",IF(OR(WEEKDAY(DATE($A29,$B29,AD29),2)&gt;6,COUNTIF('休日情報(要更新)'!$A$5:$J$32,DATE($A29,$B29,AD29)) &gt;=1),"○",IF(WEEKDAY(DATE($A29,$B29,AD29),2)=6,"●","")),"×")</f>
        <v/>
      </c>
      <c r="BN30" s="468" t="str">
        <f>IF(AE29&lt;&gt;"",IF(OR(WEEKDAY(DATE($A29,$B29,AE29),2)&gt;6,COUNTIF('休日情報(要更新)'!$A$5:$J$32,DATE($A29,$B29,AE29)) &gt;=1),"○",IF(WEEKDAY(DATE($A29,$B29,AE29),2)=6,"●","")),"×")</f>
        <v/>
      </c>
      <c r="BO30" s="468" t="str">
        <f>IF(AF29&lt;&gt;"",IF(OR(WEEKDAY(DATE($A29,$B29,AF29),2)&gt;6,COUNTIF('休日情報(要更新)'!$A$5:$J$32,DATE($A29,$B29,AF29)) &gt;=1),"○",IF(WEEKDAY(DATE($A29,$B29,AF29),2)=6,"●","")),"×")</f>
        <v/>
      </c>
      <c r="BP30" s="468" t="str">
        <f>IF(AG29&lt;&gt;"",IF(OR(WEEKDAY(DATE($A29,$B29,AG29),2)&gt;6,COUNTIF('休日情報(要更新)'!$A$5:$J$32,DATE($A29,$B29,AG29)) &gt;=1),"○",IF(WEEKDAY(DATE($A29,$B29,AG29),2)=6,"●","")),"×")</f>
        <v/>
      </c>
      <c r="BQ30" s="468" t="str">
        <f>IF(AH29&lt;&gt;"",IF(OR(WEEKDAY(DATE($A29,$B29,AH29),2)&gt;6,COUNTIF('休日情報(要更新)'!$A$5:$J$32,DATE($A29,$B29,AH29)) &gt;=1),"○",IF(WEEKDAY(DATE($A29,$B29,AH29),2)=6,"●","")),"×")</f>
        <v>●</v>
      </c>
      <c r="BR30" s="468" t="str">
        <f>IF(AI29&lt;&gt;"",IF(OR(WEEKDAY(DATE($A29,$B29,AI29),2)&gt;6,COUNTIF('休日情報(要更新)'!$A$5:$J$32,DATE($A29,$B29,AI29)) &gt;=1),"○",IF(WEEKDAY(DATE($A29,$B29,AI29),2)=6,"●","")),"×")</f>
        <v>○</v>
      </c>
    </row>
    <row r="31" spans="1:70" ht="12" customHeight="1">
      <c r="A31" s="1857"/>
      <c r="B31" s="1859"/>
      <c r="C31" s="1848"/>
      <c r="D31" s="486" t="s">
        <v>557</v>
      </c>
      <c r="E31" s="469"/>
      <c r="F31" s="470"/>
      <c r="G31" s="470"/>
      <c r="H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0"/>
      <c r="AF31" s="470"/>
      <c r="AG31" s="470"/>
      <c r="AH31" s="470"/>
      <c r="AI31" s="471"/>
      <c r="AJ31" s="472">
        <f>COUNTIFS(AN30:BR30,"",E31:AI31,"○")</f>
        <v>0</v>
      </c>
      <c r="AK31" s="473"/>
    </row>
    <row r="32" spans="1:70" ht="12.75" customHeight="1">
      <c r="A32" s="1857"/>
      <c r="B32" s="1859"/>
      <c r="C32" s="1849"/>
      <c r="D32" s="832" t="s">
        <v>558</v>
      </c>
      <c r="E32" s="833"/>
      <c r="F32" s="830"/>
      <c r="G32" s="830"/>
      <c r="H32" s="830"/>
      <c r="I32" s="830"/>
      <c r="J32" s="830"/>
      <c r="K32" s="830"/>
      <c r="L32" s="830"/>
      <c r="M32" s="830"/>
      <c r="N32" s="830"/>
      <c r="O32" s="830"/>
      <c r="P32" s="830"/>
      <c r="Q32" s="830"/>
      <c r="R32" s="830"/>
      <c r="S32" s="830"/>
      <c r="T32" s="830"/>
      <c r="U32" s="830"/>
      <c r="V32" s="830"/>
      <c r="W32" s="830"/>
      <c r="X32" s="830"/>
      <c r="Y32" s="830"/>
      <c r="Z32" s="830"/>
      <c r="AA32" s="830"/>
      <c r="AB32" s="830"/>
      <c r="AC32" s="830"/>
      <c r="AD32" s="830"/>
      <c r="AE32" s="830"/>
      <c r="AF32" s="830"/>
      <c r="AG32" s="830"/>
      <c r="AH32" s="830"/>
      <c r="AI32" s="831"/>
      <c r="AJ32" s="834">
        <f>COUNTIFS(E31:AI31,"○",AN30:BR30,"",E32:AI32,"○")</f>
        <v>0</v>
      </c>
    </row>
    <row r="33" spans="1:70" ht="12.75" customHeight="1">
      <c r="A33" s="967"/>
      <c r="B33" s="1860"/>
      <c r="C33" s="1846"/>
      <c r="D33" s="487" t="s">
        <v>943</v>
      </c>
      <c r="E33" s="475"/>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6"/>
      <c r="AG33" s="476"/>
      <c r="AH33" s="476"/>
      <c r="AI33" s="477"/>
      <c r="AJ33" s="478">
        <f>COUNTIFS(E31:AI31,"○",AN30:BR30,"",E32:AI32,"○",E33:AI33,"○")</f>
        <v>0</v>
      </c>
    </row>
    <row r="34" spans="1:70" ht="12" customHeight="1">
      <c r="A34" s="1857">
        <f>IF($AN$7=0,#REF!,$AN$7)+IF(AND($B34&gt;=1,$B34&lt;=3),1,0)</f>
        <v>2025</v>
      </c>
      <c r="B34" s="1858">
        <v>9</v>
      </c>
      <c r="C34" s="1846" t="s">
        <v>947</v>
      </c>
      <c r="D34" s="835" t="s">
        <v>547</v>
      </c>
      <c r="E34" s="836">
        <v>1</v>
      </c>
      <c r="F34" s="837">
        <v>2</v>
      </c>
      <c r="G34" s="837">
        <v>3</v>
      </c>
      <c r="H34" s="837">
        <v>4</v>
      </c>
      <c r="I34" s="837">
        <v>5</v>
      </c>
      <c r="J34" s="837">
        <v>6</v>
      </c>
      <c r="K34" s="837">
        <v>7</v>
      </c>
      <c r="L34" s="837">
        <v>8</v>
      </c>
      <c r="M34" s="837">
        <v>9</v>
      </c>
      <c r="N34" s="837">
        <v>10</v>
      </c>
      <c r="O34" s="837">
        <v>11</v>
      </c>
      <c r="P34" s="837">
        <v>12</v>
      </c>
      <c r="Q34" s="837">
        <v>13</v>
      </c>
      <c r="R34" s="837">
        <v>14</v>
      </c>
      <c r="S34" s="837">
        <v>15</v>
      </c>
      <c r="T34" s="837">
        <v>16</v>
      </c>
      <c r="U34" s="837">
        <v>17</v>
      </c>
      <c r="V34" s="837">
        <v>18</v>
      </c>
      <c r="W34" s="837">
        <v>19</v>
      </c>
      <c r="X34" s="837">
        <v>20</v>
      </c>
      <c r="Y34" s="837">
        <v>21</v>
      </c>
      <c r="Z34" s="837">
        <v>22</v>
      </c>
      <c r="AA34" s="837">
        <v>23</v>
      </c>
      <c r="AB34" s="837">
        <v>24</v>
      </c>
      <c r="AC34" s="837">
        <v>25</v>
      </c>
      <c r="AD34" s="837">
        <v>26</v>
      </c>
      <c r="AE34" s="837">
        <v>27</v>
      </c>
      <c r="AF34" s="837">
        <v>28</v>
      </c>
      <c r="AG34" s="837">
        <f>IF(MONTH(DATE($A34,B34,AF34+1))=B34,AF34+1,"")</f>
        <v>29</v>
      </c>
      <c r="AH34" s="837">
        <f t="shared" ref="AH34" si="13">IF(B34&lt;&gt;2,IF(AG34&lt;&gt;"",AG34+1,""),"")</f>
        <v>30</v>
      </c>
      <c r="AI34" s="838" t="str">
        <f t="shared" ref="AI34" si="14">IF(OR(B34=1,B34=3,B34=5,B34=7,B34=8,B34=10,B34=12),AH34+1,"")</f>
        <v/>
      </c>
      <c r="AJ34" s="1855" t="s">
        <v>19</v>
      </c>
      <c r="AK34" s="467"/>
      <c r="AL34" s="1854" t="s">
        <v>382</v>
      </c>
      <c r="AM34" s="1854"/>
      <c r="AN34" s="468">
        <v>1</v>
      </c>
      <c r="AO34" s="468">
        <v>2</v>
      </c>
      <c r="AP34" s="468">
        <v>3</v>
      </c>
      <c r="AQ34" s="468">
        <v>4</v>
      </c>
      <c r="AR34" s="468">
        <v>5</v>
      </c>
      <c r="AS34" s="468">
        <v>6</v>
      </c>
      <c r="AT34" s="468">
        <v>7</v>
      </c>
      <c r="AU34" s="468">
        <v>8</v>
      </c>
      <c r="AV34" s="468">
        <v>9</v>
      </c>
      <c r="AW34" s="468">
        <v>10</v>
      </c>
      <c r="AX34" s="468">
        <v>11</v>
      </c>
      <c r="AY34" s="468">
        <v>12</v>
      </c>
      <c r="AZ34" s="468">
        <v>13</v>
      </c>
      <c r="BA34" s="468">
        <v>14</v>
      </c>
      <c r="BB34" s="468">
        <v>15</v>
      </c>
      <c r="BC34" s="468">
        <v>16</v>
      </c>
      <c r="BD34" s="468">
        <v>17</v>
      </c>
      <c r="BE34" s="468">
        <v>18</v>
      </c>
      <c r="BF34" s="468">
        <v>19</v>
      </c>
      <c r="BG34" s="468">
        <v>20</v>
      </c>
      <c r="BH34" s="468">
        <v>21</v>
      </c>
      <c r="BI34" s="468">
        <v>22</v>
      </c>
      <c r="BJ34" s="468">
        <v>23</v>
      </c>
      <c r="BK34" s="468">
        <v>24</v>
      </c>
      <c r="BL34" s="468">
        <v>25</v>
      </c>
      <c r="BM34" s="468">
        <v>26</v>
      </c>
      <c r="BN34" s="468">
        <v>27</v>
      </c>
      <c r="BO34" s="468">
        <v>28</v>
      </c>
      <c r="BP34" s="468">
        <v>29</v>
      </c>
      <c r="BQ34" s="468">
        <v>30</v>
      </c>
      <c r="BR34" s="468">
        <v>31</v>
      </c>
    </row>
    <row r="35" spans="1:70" ht="12" customHeight="1">
      <c r="A35" s="1857"/>
      <c r="B35" s="1859"/>
      <c r="C35" s="1847"/>
      <c r="D35" s="485" t="s">
        <v>383</v>
      </c>
      <c r="E35" s="978" t="str">
        <f t="shared" ref="E35:AI35" si="15">IF(E34&lt;&gt;"",HLOOKUP(WEEKDAY(DATE($A34,$B34,E34)),$AP$1:$AV$2,2,FALSE),"")</f>
        <v>（月）</v>
      </c>
      <c r="F35" s="980" t="str">
        <f t="shared" si="15"/>
        <v>（火）</v>
      </c>
      <c r="G35" s="980" t="str">
        <f t="shared" si="15"/>
        <v>（水）</v>
      </c>
      <c r="H35" s="980" t="str">
        <f t="shared" si="15"/>
        <v>（木）</v>
      </c>
      <c r="I35" s="980" t="str">
        <f t="shared" si="15"/>
        <v>（金）</v>
      </c>
      <c r="J35" s="980" t="str">
        <f t="shared" si="15"/>
        <v>（土）</v>
      </c>
      <c r="K35" s="980" t="str">
        <f t="shared" si="15"/>
        <v>（日）</v>
      </c>
      <c r="L35" s="980" t="str">
        <f t="shared" si="15"/>
        <v>（月）</v>
      </c>
      <c r="M35" s="980" t="str">
        <f t="shared" si="15"/>
        <v>（火）</v>
      </c>
      <c r="N35" s="980" t="str">
        <f t="shared" si="15"/>
        <v>（水）</v>
      </c>
      <c r="O35" s="980" t="str">
        <f t="shared" si="15"/>
        <v>（木）</v>
      </c>
      <c r="P35" s="980" t="str">
        <f t="shared" si="15"/>
        <v>（金）</v>
      </c>
      <c r="Q35" s="980" t="str">
        <f t="shared" si="15"/>
        <v>（土）</v>
      </c>
      <c r="R35" s="980" t="str">
        <f t="shared" si="15"/>
        <v>（日）</v>
      </c>
      <c r="S35" s="980" t="str">
        <f t="shared" si="15"/>
        <v>（月）</v>
      </c>
      <c r="T35" s="980" t="str">
        <f t="shared" si="15"/>
        <v>（火）</v>
      </c>
      <c r="U35" s="980" t="str">
        <f t="shared" si="15"/>
        <v>（水）</v>
      </c>
      <c r="V35" s="980" t="str">
        <f t="shared" si="15"/>
        <v>（木）</v>
      </c>
      <c r="W35" s="980" t="str">
        <f t="shared" si="15"/>
        <v>（金）</v>
      </c>
      <c r="X35" s="980" t="str">
        <f t="shared" si="15"/>
        <v>（土）</v>
      </c>
      <c r="Y35" s="980" t="str">
        <f t="shared" si="15"/>
        <v>（日）</v>
      </c>
      <c r="Z35" s="980" t="str">
        <f t="shared" si="15"/>
        <v>（月）</v>
      </c>
      <c r="AA35" s="980" t="str">
        <f t="shared" si="15"/>
        <v>（火）</v>
      </c>
      <c r="AB35" s="980" t="str">
        <f t="shared" si="15"/>
        <v>（水）</v>
      </c>
      <c r="AC35" s="980" t="str">
        <f t="shared" si="15"/>
        <v>（木）</v>
      </c>
      <c r="AD35" s="980" t="str">
        <f t="shared" si="15"/>
        <v>（金）</v>
      </c>
      <c r="AE35" s="980" t="str">
        <f t="shared" si="15"/>
        <v>（土）</v>
      </c>
      <c r="AF35" s="980" t="str">
        <f t="shared" si="15"/>
        <v>（日）</v>
      </c>
      <c r="AG35" s="980" t="str">
        <f t="shared" si="15"/>
        <v>（月）</v>
      </c>
      <c r="AH35" s="980" t="str">
        <f t="shared" si="15"/>
        <v>（火）</v>
      </c>
      <c r="AI35" s="979" t="str">
        <f t="shared" si="15"/>
        <v/>
      </c>
      <c r="AJ35" s="1856"/>
      <c r="AK35" s="467"/>
      <c r="AL35" s="1854" t="s">
        <v>410</v>
      </c>
      <c r="AM35" s="1854"/>
      <c r="AN35" s="468" t="str">
        <f>IF(E34&lt;&gt;"",IF(OR(WEEKDAY(DATE($A34,$B34,E34),2)&gt;6,COUNTIF('休日情報(要更新)'!$A$5:$J$32,DATE($A34,$B34,E34)) &gt;=1),"○",IF(WEEKDAY(DATE($A34,$B34,E34),2)=6,"●","")),"×")</f>
        <v/>
      </c>
      <c r="AO35" s="468" t="str">
        <f>IF(F34&lt;&gt;"",IF(OR(WEEKDAY(DATE($A34,$B34,F34),2)&gt;6,COUNTIF('休日情報(要更新)'!$A$5:$J$32,DATE($A34,$B34,F34)) &gt;=1),"○",IF(WEEKDAY(DATE($A34,$B34,F34),2)=6,"●","")),"×")</f>
        <v/>
      </c>
      <c r="AP35" s="468" t="str">
        <f>IF(G34&lt;&gt;"",IF(OR(WEEKDAY(DATE($A34,$B34,G34),2)&gt;6,COUNTIF('休日情報(要更新)'!$A$5:$J$32,DATE($A34,$B34,G34)) &gt;=1),"○",IF(WEEKDAY(DATE($A34,$B34,G34),2)=6,"●","")),"×")</f>
        <v/>
      </c>
      <c r="AQ35" s="468" t="str">
        <f>IF(H34&lt;&gt;"",IF(OR(WEEKDAY(DATE($A34,$B34,H34),2)&gt;6,COUNTIF('休日情報(要更新)'!$A$5:$J$32,DATE($A34,$B34,H34)) &gt;=1),"○",IF(WEEKDAY(DATE($A34,$B34,H34),2)=6,"●","")),"×")</f>
        <v/>
      </c>
      <c r="AR35" s="468" t="str">
        <f>IF(I34&lt;&gt;"",IF(OR(WEEKDAY(DATE($A34,$B34,I34),2)&gt;6,COUNTIF('休日情報(要更新)'!$A$5:$J$32,DATE($A34,$B34,I34)) &gt;=1),"○",IF(WEEKDAY(DATE($A34,$B34,I34),2)=6,"●","")),"×")</f>
        <v/>
      </c>
      <c r="AS35" s="468" t="str">
        <f>IF(J34&lt;&gt;"",IF(OR(WEEKDAY(DATE($A34,$B34,J34),2)&gt;6,COUNTIF('休日情報(要更新)'!$A$5:$J$32,DATE($A34,$B34,J34)) &gt;=1),"○",IF(WEEKDAY(DATE($A34,$B34,J34),2)=6,"●","")),"×")</f>
        <v>●</v>
      </c>
      <c r="AT35" s="468" t="str">
        <f>IF(K34&lt;&gt;"",IF(OR(WEEKDAY(DATE($A34,$B34,K34),2)&gt;6,COUNTIF('休日情報(要更新)'!$A$5:$J$32,DATE($A34,$B34,K34)) &gt;=1),"○",IF(WEEKDAY(DATE($A34,$B34,K34),2)=6,"●","")),"×")</f>
        <v>○</v>
      </c>
      <c r="AU35" s="468" t="str">
        <f>IF(L34&lt;&gt;"",IF(OR(WEEKDAY(DATE($A34,$B34,L34),2)&gt;6,COUNTIF('休日情報(要更新)'!$A$5:$J$32,DATE($A34,$B34,L34)) &gt;=1),"○",IF(WEEKDAY(DATE($A34,$B34,L34),2)=6,"●","")),"×")</f>
        <v/>
      </c>
      <c r="AV35" s="468" t="str">
        <f>IF(M34&lt;&gt;"",IF(OR(WEEKDAY(DATE($A34,$B34,M34),2)&gt;6,COUNTIF('休日情報(要更新)'!$A$5:$J$32,DATE($A34,$B34,M34)) &gt;=1),"○",IF(WEEKDAY(DATE($A34,$B34,M34),2)=6,"●","")),"×")</f>
        <v/>
      </c>
      <c r="AW35" s="468" t="str">
        <f>IF(N34&lt;&gt;"",IF(OR(WEEKDAY(DATE($A34,$B34,N34),2)&gt;6,COUNTIF('休日情報(要更新)'!$A$5:$J$32,DATE($A34,$B34,N34)) &gt;=1),"○",IF(WEEKDAY(DATE($A34,$B34,N34),2)=6,"●","")),"×")</f>
        <v/>
      </c>
      <c r="AX35" s="468" t="str">
        <f>IF(O34&lt;&gt;"",IF(OR(WEEKDAY(DATE($A34,$B34,O34),2)&gt;6,COUNTIF('休日情報(要更新)'!$A$5:$J$32,DATE($A34,$B34,O34)) &gt;=1),"○",IF(WEEKDAY(DATE($A34,$B34,O34),2)=6,"●","")),"×")</f>
        <v/>
      </c>
      <c r="AY35" s="468" t="str">
        <f>IF(P34&lt;&gt;"",IF(OR(WEEKDAY(DATE($A34,$B34,P34),2)&gt;6,COUNTIF('休日情報(要更新)'!$A$5:$J$32,DATE($A34,$B34,P34)) &gt;=1),"○",IF(WEEKDAY(DATE($A34,$B34,P34),2)=6,"●","")),"×")</f>
        <v/>
      </c>
      <c r="AZ35" s="468" t="str">
        <f>IF(Q34&lt;&gt;"",IF(OR(WEEKDAY(DATE($A34,$B34,Q34),2)&gt;6,COUNTIF('休日情報(要更新)'!$A$5:$J$32,DATE($A34,$B34,Q34)) &gt;=1),"○",IF(WEEKDAY(DATE($A34,$B34,Q34),2)=6,"●","")),"×")</f>
        <v>●</v>
      </c>
      <c r="BA35" s="468" t="str">
        <f>IF(R34&lt;&gt;"",IF(OR(WEEKDAY(DATE($A34,$B34,R34),2)&gt;6,COUNTIF('休日情報(要更新)'!$A$5:$J$32,DATE($A34,$B34,R34)) &gt;=1),"○",IF(WEEKDAY(DATE($A34,$B34,R34),2)=6,"●","")),"×")</f>
        <v>○</v>
      </c>
      <c r="BB35" s="468" t="str">
        <f>IF(S34&lt;&gt;"",IF(OR(WEEKDAY(DATE($A34,$B34,S34),2)&gt;6,COUNTIF('休日情報(要更新)'!$A$5:$J$32,DATE($A34,$B34,S34)) &gt;=1),"○",IF(WEEKDAY(DATE($A34,$B34,S34),2)=6,"●","")),"×")</f>
        <v>○</v>
      </c>
      <c r="BC35" s="468" t="str">
        <f>IF(T34&lt;&gt;"",IF(OR(WEEKDAY(DATE($A34,$B34,T34),2)&gt;6,COUNTIF('休日情報(要更新)'!$A$5:$J$32,DATE($A34,$B34,T34)) &gt;=1),"○",IF(WEEKDAY(DATE($A34,$B34,T34),2)=6,"●","")),"×")</f>
        <v/>
      </c>
      <c r="BD35" s="468" t="str">
        <f>IF(U34&lt;&gt;"",IF(OR(WEEKDAY(DATE($A34,$B34,U34),2)&gt;6,COUNTIF('休日情報(要更新)'!$A$5:$J$32,DATE($A34,$B34,U34)) &gt;=1),"○",IF(WEEKDAY(DATE($A34,$B34,U34),2)=6,"●","")),"×")</f>
        <v/>
      </c>
      <c r="BE35" s="468" t="str">
        <f>IF(V34&lt;&gt;"",IF(OR(WEEKDAY(DATE($A34,$B34,V34),2)&gt;6,COUNTIF('休日情報(要更新)'!$A$5:$J$32,DATE($A34,$B34,V34)) &gt;=1),"○",IF(WEEKDAY(DATE($A34,$B34,V34),2)=6,"●","")),"×")</f>
        <v/>
      </c>
      <c r="BF35" s="468" t="str">
        <f>IF(W34&lt;&gt;"",IF(OR(WEEKDAY(DATE($A34,$B34,W34),2)&gt;6,COUNTIF('休日情報(要更新)'!$A$5:$J$32,DATE($A34,$B34,W34)) &gt;=1),"○",IF(WEEKDAY(DATE($A34,$B34,W34),2)=6,"●","")),"×")</f>
        <v/>
      </c>
      <c r="BG35" s="468" t="str">
        <f>IF(X34&lt;&gt;"",IF(OR(WEEKDAY(DATE($A34,$B34,X34),2)&gt;6,COUNTIF('休日情報(要更新)'!$A$5:$J$32,DATE($A34,$B34,X34)) &gt;=1),"○",IF(WEEKDAY(DATE($A34,$B34,X34),2)=6,"●","")),"×")</f>
        <v>●</v>
      </c>
      <c r="BH35" s="468" t="str">
        <f>IF(Y34&lt;&gt;"",IF(OR(WEEKDAY(DATE($A34,$B34,Y34),2)&gt;6,COUNTIF('休日情報(要更新)'!$A$5:$J$32,DATE($A34,$B34,Y34)) &gt;=1),"○",IF(WEEKDAY(DATE($A34,$B34,Y34),2)=6,"●","")),"×")</f>
        <v>○</v>
      </c>
      <c r="BI35" s="468" t="str">
        <f>IF(Z34&lt;&gt;"",IF(OR(WEEKDAY(DATE($A34,$B34,Z34),2)&gt;6,COUNTIF('休日情報(要更新)'!$A$5:$J$32,DATE($A34,$B34,Z34)) &gt;=1),"○",IF(WEEKDAY(DATE($A34,$B34,Z34),2)=6,"●","")),"×")</f>
        <v/>
      </c>
      <c r="BJ35" s="468" t="str">
        <f>IF(AA34&lt;&gt;"",IF(OR(WEEKDAY(DATE($A34,$B34,AA34),2)&gt;6,COUNTIF('休日情報(要更新)'!$A$5:$J$32,DATE($A34,$B34,AA34)) &gt;=1),"○",IF(WEEKDAY(DATE($A34,$B34,AA34),2)=6,"●","")),"×")</f>
        <v>○</v>
      </c>
      <c r="BK35" s="468" t="str">
        <f>IF(AB34&lt;&gt;"",IF(OR(WEEKDAY(DATE($A34,$B34,AB34),2)&gt;6,COUNTIF('休日情報(要更新)'!$A$5:$J$32,DATE($A34,$B34,AB34)) &gt;=1),"○",IF(WEEKDAY(DATE($A34,$B34,AB34),2)=6,"●","")),"×")</f>
        <v/>
      </c>
      <c r="BL35" s="468" t="str">
        <f>IF(AC34&lt;&gt;"",IF(OR(WEEKDAY(DATE($A34,$B34,AC34),2)&gt;6,COUNTIF('休日情報(要更新)'!$A$5:$J$32,DATE($A34,$B34,AC34)) &gt;=1),"○",IF(WEEKDAY(DATE($A34,$B34,AC34),2)=6,"●","")),"×")</f>
        <v/>
      </c>
      <c r="BM35" s="468" t="str">
        <f>IF(AD34&lt;&gt;"",IF(OR(WEEKDAY(DATE($A34,$B34,AD34),2)&gt;6,COUNTIF('休日情報(要更新)'!$A$5:$J$32,DATE($A34,$B34,AD34)) &gt;=1),"○",IF(WEEKDAY(DATE($A34,$B34,AD34),2)=6,"●","")),"×")</f>
        <v/>
      </c>
      <c r="BN35" s="468" t="str">
        <f>IF(AE34&lt;&gt;"",IF(OR(WEEKDAY(DATE($A34,$B34,AE34),2)&gt;6,COUNTIF('休日情報(要更新)'!$A$5:$J$32,DATE($A34,$B34,AE34)) &gt;=1),"○",IF(WEEKDAY(DATE($A34,$B34,AE34),2)=6,"●","")),"×")</f>
        <v>●</v>
      </c>
      <c r="BO35" s="468" t="str">
        <f>IF(AF34&lt;&gt;"",IF(OR(WEEKDAY(DATE($A34,$B34,AF34),2)&gt;6,COUNTIF('休日情報(要更新)'!$A$5:$J$32,DATE($A34,$B34,AF34)) &gt;=1),"○",IF(WEEKDAY(DATE($A34,$B34,AF34),2)=6,"●","")),"×")</f>
        <v>○</v>
      </c>
      <c r="BP35" s="468" t="str">
        <f>IF(AG34&lt;&gt;"",IF(OR(WEEKDAY(DATE($A34,$B34,AG34),2)&gt;6,COUNTIF('休日情報(要更新)'!$A$5:$J$32,DATE($A34,$B34,AG34)) &gt;=1),"○",IF(WEEKDAY(DATE($A34,$B34,AG34),2)=6,"●","")),"×")</f>
        <v/>
      </c>
      <c r="BQ35" s="468" t="str">
        <f>IF(AH34&lt;&gt;"",IF(OR(WEEKDAY(DATE($A34,$B34,AH34),2)&gt;6,COUNTIF('休日情報(要更新)'!$A$5:$J$32,DATE($A34,$B34,AH34)) &gt;=1),"○",IF(WEEKDAY(DATE($A34,$B34,AH34),2)=6,"●","")),"×")</f>
        <v/>
      </c>
      <c r="BR35" s="468" t="str">
        <f>IF(AI34&lt;&gt;"",IF(OR(WEEKDAY(DATE($A34,$B34,AI34),2)&gt;6,COUNTIF('休日情報(要更新)'!$A$5:$J$32,DATE($A34,$B34,AI34)) &gt;=1),"○",IF(WEEKDAY(DATE($A34,$B34,AI34),2)=6,"●","")),"×")</f>
        <v>×</v>
      </c>
    </row>
    <row r="36" spans="1:70" ht="12" customHeight="1">
      <c r="A36" s="1857"/>
      <c r="B36" s="1859"/>
      <c r="C36" s="1848"/>
      <c r="D36" s="486" t="s">
        <v>557</v>
      </c>
      <c r="E36" s="469"/>
      <c r="F36" s="470"/>
      <c r="G36" s="470"/>
      <c r="H36" s="470"/>
      <c r="I36" s="470"/>
      <c r="J36" s="470"/>
      <c r="K36" s="470"/>
      <c r="L36" s="470"/>
      <c r="M36" s="470"/>
      <c r="N36" s="470"/>
      <c r="O36" s="470"/>
      <c r="P36" s="470"/>
      <c r="Q36" s="470"/>
      <c r="R36" s="470"/>
      <c r="S36" s="470"/>
      <c r="T36" s="470"/>
      <c r="U36" s="470"/>
      <c r="V36" s="470"/>
      <c r="W36" s="470"/>
      <c r="X36" s="470"/>
      <c r="Y36" s="470"/>
      <c r="Z36" s="470"/>
      <c r="AA36" s="470"/>
      <c r="AB36" s="470"/>
      <c r="AC36" s="470"/>
      <c r="AD36" s="470"/>
      <c r="AE36" s="470"/>
      <c r="AF36" s="470"/>
      <c r="AG36" s="470"/>
      <c r="AH36" s="470"/>
      <c r="AI36" s="471"/>
      <c r="AJ36" s="472">
        <f>COUNTIFS(AN35:BR35,"",E36:AI36,"○")</f>
        <v>0</v>
      </c>
      <c r="AK36" s="473"/>
    </row>
    <row r="37" spans="1:70" ht="12.75" customHeight="1">
      <c r="A37" s="1857"/>
      <c r="B37" s="1859"/>
      <c r="C37" s="1849"/>
      <c r="D37" s="832" t="s">
        <v>558</v>
      </c>
      <c r="E37" s="833"/>
      <c r="F37" s="830"/>
      <c r="G37" s="830"/>
      <c r="H37" s="830"/>
      <c r="I37" s="830"/>
      <c r="J37" s="830"/>
      <c r="K37" s="830"/>
      <c r="L37" s="830"/>
      <c r="M37" s="830"/>
      <c r="N37" s="830"/>
      <c r="O37" s="830"/>
      <c r="P37" s="830"/>
      <c r="Q37" s="830"/>
      <c r="R37" s="830"/>
      <c r="S37" s="830"/>
      <c r="T37" s="830"/>
      <c r="U37" s="830"/>
      <c r="V37" s="830"/>
      <c r="W37" s="830"/>
      <c r="X37" s="830"/>
      <c r="Y37" s="830"/>
      <c r="Z37" s="830"/>
      <c r="AA37" s="830"/>
      <c r="AB37" s="830"/>
      <c r="AC37" s="830"/>
      <c r="AD37" s="830"/>
      <c r="AE37" s="830"/>
      <c r="AF37" s="830"/>
      <c r="AG37" s="830"/>
      <c r="AH37" s="830"/>
      <c r="AI37" s="831"/>
      <c r="AJ37" s="834">
        <f>COUNTIFS(E36:AI36,"○",AN35:BR35,"",E37:AI37,"○")</f>
        <v>0</v>
      </c>
    </row>
    <row r="38" spans="1:70" ht="12.75" customHeight="1">
      <c r="A38" s="967"/>
      <c r="B38" s="1860"/>
      <c r="C38" s="1846"/>
      <c r="D38" s="487" t="s">
        <v>943</v>
      </c>
      <c r="E38" s="475"/>
      <c r="F38" s="476"/>
      <c r="G38" s="476"/>
      <c r="H38" s="476"/>
      <c r="I38" s="476"/>
      <c r="J38" s="476"/>
      <c r="K38" s="476"/>
      <c r="L38" s="476"/>
      <c r="M38" s="476"/>
      <c r="N38" s="476"/>
      <c r="O38" s="476"/>
      <c r="P38" s="476"/>
      <c r="Q38" s="476"/>
      <c r="R38" s="476"/>
      <c r="S38" s="476"/>
      <c r="T38" s="476"/>
      <c r="U38" s="476"/>
      <c r="V38" s="476"/>
      <c r="W38" s="476"/>
      <c r="X38" s="476"/>
      <c r="Y38" s="476"/>
      <c r="Z38" s="476"/>
      <c r="AA38" s="476"/>
      <c r="AB38" s="476"/>
      <c r="AC38" s="476"/>
      <c r="AD38" s="476"/>
      <c r="AE38" s="476"/>
      <c r="AF38" s="476"/>
      <c r="AG38" s="476"/>
      <c r="AH38" s="476"/>
      <c r="AI38" s="477"/>
      <c r="AJ38" s="478">
        <f>COUNTIFS(E36:AI36,"○",AN35:BR35,"",E37:AI37,"○",E38:AI38,"○")</f>
        <v>0</v>
      </c>
    </row>
    <row r="39" spans="1:70" ht="12" customHeight="1">
      <c r="A39" s="1857">
        <f>IF($AN$7=0,#REF!,$AN$7)+IF(AND($B39&gt;=1,$B39&lt;=3),1,0)</f>
        <v>2025</v>
      </c>
      <c r="B39" s="1858">
        <v>10</v>
      </c>
      <c r="C39" s="1846" t="s">
        <v>947</v>
      </c>
      <c r="D39" s="835" t="s">
        <v>547</v>
      </c>
      <c r="E39" s="836">
        <v>1</v>
      </c>
      <c r="F39" s="837">
        <v>2</v>
      </c>
      <c r="G39" s="837">
        <v>3</v>
      </c>
      <c r="H39" s="837">
        <v>4</v>
      </c>
      <c r="I39" s="837">
        <v>5</v>
      </c>
      <c r="J39" s="837">
        <v>6</v>
      </c>
      <c r="K39" s="837">
        <v>7</v>
      </c>
      <c r="L39" s="837">
        <v>8</v>
      </c>
      <c r="M39" s="837">
        <v>9</v>
      </c>
      <c r="N39" s="837">
        <v>10</v>
      </c>
      <c r="O39" s="837">
        <v>11</v>
      </c>
      <c r="P39" s="837">
        <v>12</v>
      </c>
      <c r="Q39" s="837">
        <v>13</v>
      </c>
      <c r="R39" s="837">
        <v>14</v>
      </c>
      <c r="S39" s="837">
        <v>15</v>
      </c>
      <c r="T39" s="837">
        <v>16</v>
      </c>
      <c r="U39" s="837">
        <v>17</v>
      </c>
      <c r="V39" s="837">
        <v>18</v>
      </c>
      <c r="W39" s="837">
        <v>19</v>
      </c>
      <c r="X39" s="837">
        <v>20</v>
      </c>
      <c r="Y39" s="837">
        <v>21</v>
      </c>
      <c r="Z39" s="837">
        <v>22</v>
      </c>
      <c r="AA39" s="837">
        <v>23</v>
      </c>
      <c r="AB39" s="837">
        <v>24</v>
      </c>
      <c r="AC39" s="837">
        <v>25</v>
      </c>
      <c r="AD39" s="837">
        <v>26</v>
      </c>
      <c r="AE39" s="837">
        <v>27</v>
      </c>
      <c r="AF39" s="837">
        <v>28</v>
      </c>
      <c r="AG39" s="837">
        <f>IF(MONTH(DATE($A39,B39,AF39+1))=B39,AF39+1,"")</f>
        <v>29</v>
      </c>
      <c r="AH39" s="837">
        <f t="shared" ref="AH39" si="16">IF(B39&lt;&gt;2,IF(AG39&lt;&gt;"",AG39+1,""),"")</f>
        <v>30</v>
      </c>
      <c r="AI39" s="838">
        <f t="shared" ref="AI39" si="17">IF(OR(B39=1,B39=3,B39=5,B39=7,B39=8,B39=10,B39=12),AH39+1,"")</f>
        <v>31</v>
      </c>
      <c r="AJ39" s="1855" t="s">
        <v>19</v>
      </c>
      <c r="AK39" s="467"/>
      <c r="AL39" s="1854" t="s">
        <v>382</v>
      </c>
      <c r="AM39" s="1854"/>
      <c r="AN39" s="468">
        <v>1</v>
      </c>
      <c r="AO39" s="468">
        <v>2</v>
      </c>
      <c r="AP39" s="468">
        <v>3</v>
      </c>
      <c r="AQ39" s="468">
        <v>4</v>
      </c>
      <c r="AR39" s="468">
        <v>5</v>
      </c>
      <c r="AS39" s="468">
        <v>6</v>
      </c>
      <c r="AT39" s="468">
        <v>7</v>
      </c>
      <c r="AU39" s="468">
        <v>8</v>
      </c>
      <c r="AV39" s="468">
        <v>9</v>
      </c>
      <c r="AW39" s="468">
        <v>10</v>
      </c>
      <c r="AX39" s="468">
        <v>11</v>
      </c>
      <c r="AY39" s="468">
        <v>12</v>
      </c>
      <c r="AZ39" s="468">
        <v>13</v>
      </c>
      <c r="BA39" s="468">
        <v>14</v>
      </c>
      <c r="BB39" s="468">
        <v>15</v>
      </c>
      <c r="BC39" s="468">
        <v>16</v>
      </c>
      <c r="BD39" s="468">
        <v>17</v>
      </c>
      <c r="BE39" s="468">
        <v>18</v>
      </c>
      <c r="BF39" s="468">
        <v>19</v>
      </c>
      <c r="BG39" s="468">
        <v>20</v>
      </c>
      <c r="BH39" s="468">
        <v>21</v>
      </c>
      <c r="BI39" s="468">
        <v>22</v>
      </c>
      <c r="BJ39" s="468">
        <v>23</v>
      </c>
      <c r="BK39" s="468">
        <v>24</v>
      </c>
      <c r="BL39" s="468">
        <v>25</v>
      </c>
      <c r="BM39" s="468">
        <v>26</v>
      </c>
      <c r="BN39" s="468">
        <v>27</v>
      </c>
      <c r="BO39" s="468">
        <v>28</v>
      </c>
      <c r="BP39" s="468">
        <v>29</v>
      </c>
      <c r="BQ39" s="468">
        <v>30</v>
      </c>
      <c r="BR39" s="468">
        <v>31</v>
      </c>
    </row>
    <row r="40" spans="1:70" ht="12" customHeight="1">
      <c r="A40" s="1857"/>
      <c r="B40" s="1859"/>
      <c r="C40" s="1847"/>
      <c r="D40" s="485" t="s">
        <v>383</v>
      </c>
      <c r="E40" s="978" t="str">
        <f t="shared" ref="E40:AI40" si="18">IF(E39&lt;&gt;"",HLOOKUP(WEEKDAY(DATE($A39,$B39,E39)),$AP$1:$AV$2,2,FALSE),"")</f>
        <v>（水）</v>
      </c>
      <c r="F40" s="980" t="str">
        <f t="shared" si="18"/>
        <v>（木）</v>
      </c>
      <c r="G40" s="980" t="str">
        <f t="shared" si="18"/>
        <v>（金）</v>
      </c>
      <c r="H40" s="980" t="str">
        <f t="shared" si="18"/>
        <v>（土）</v>
      </c>
      <c r="I40" s="980" t="str">
        <f t="shared" si="18"/>
        <v>（日）</v>
      </c>
      <c r="J40" s="980" t="str">
        <f t="shared" si="18"/>
        <v>（月）</v>
      </c>
      <c r="K40" s="980" t="str">
        <f t="shared" si="18"/>
        <v>（火）</v>
      </c>
      <c r="L40" s="980" t="str">
        <f t="shared" si="18"/>
        <v>（水）</v>
      </c>
      <c r="M40" s="980" t="str">
        <f t="shared" si="18"/>
        <v>（木）</v>
      </c>
      <c r="N40" s="980" t="str">
        <f t="shared" si="18"/>
        <v>（金）</v>
      </c>
      <c r="O40" s="980" t="str">
        <f t="shared" si="18"/>
        <v>（土）</v>
      </c>
      <c r="P40" s="980" t="str">
        <f t="shared" si="18"/>
        <v>（日）</v>
      </c>
      <c r="Q40" s="980" t="str">
        <f t="shared" si="18"/>
        <v>（月）</v>
      </c>
      <c r="R40" s="980" t="str">
        <f t="shared" si="18"/>
        <v>（火）</v>
      </c>
      <c r="S40" s="980" t="str">
        <f t="shared" si="18"/>
        <v>（水）</v>
      </c>
      <c r="T40" s="980" t="str">
        <f t="shared" si="18"/>
        <v>（木）</v>
      </c>
      <c r="U40" s="980" t="str">
        <f t="shared" si="18"/>
        <v>（金）</v>
      </c>
      <c r="V40" s="980" t="str">
        <f t="shared" si="18"/>
        <v>（土）</v>
      </c>
      <c r="W40" s="980" t="str">
        <f t="shared" si="18"/>
        <v>（日）</v>
      </c>
      <c r="X40" s="980" t="str">
        <f t="shared" si="18"/>
        <v>（月）</v>
      </c>
      <c r="Y40" s="980" t="str">
        <f t="shared" si="18"/>
        <v>（火）</v>
      </c>
      <c r="Z40" s="980" t="str">
        <f t="shared" si="18"/>
        <v>（水）</v>
      </c>
      <c r="AA40" s="980" t="str">
        <f t="shared" si="18"/>
        <v>（木）</v>
      </c>
      <c r="AB40" s="980" t="str">
        <f t="shared" si="18"/>
        <v>（金）</v>
      </c>
      <c r="AC40" s="980" t="str">
        <f t="shared" si="18"/>
        <v>（土）</v>
      </c>
      <c r="AD40" s="980" t="str">
        <f t="shared" si="18"/>
        <v>（日）</v>
      </c>
      <c r="AE40" s="980" t="str">
        <f t="shared" si="18"/>
        <v>（月）</v>
      </c>
      <c r="AF40" s="980" t="str">
        <f t="shared" si="18"/>
        <v>（火）</v>
      </c>
      <c r="AG40" s="980" t="str">
        <f t="shared" si="18"/>
        <v>（水）</v>
      </c>
      <c r="AH40" s="980" t="str">
        <f t="shared" si="18"/>
        <v>（木）</v>
      </c>
      <c r="AI40" s="979" t="str">
        <f t="shared" si="18"/>
        <v>（金）</v>
      </c>
      <c r="AJ40" s="1856"/>
      <c r="AK40" s="467"/>
      <c r="AL40" s="1854" t="s">
        <v>410</v>
      </c>
      <c r="AM40" s="1854"/>
      <c r="AN40" s="468" t="str">
        <f>IF(E39&lt;&gt;"",IF(OR(WEEKDAY(DATE($A39,$B39,E39),2)&gt;6,COUNTIF('休日情報(要更新)'!$A$5:$J$32,DATE($A39,$B39,E39)) &gt;=1),"○",IF(WEEKDAY(DATE($A39,$B39,E39),2)=6,"●","")),"×")</f>
        <v/>
      </c>
      <c r="AO40" s="468" t="str">
        <f>IF(F39&lt;&gt;"",IF(OR(WEEKDAY(DATE($A39,$B39,F39),2)&gt;6,COUNTIF('休日情報(要更新)'!$A$5:$J$32,DATE($A39,$B39,F39)) &gt;=1),"○",IF(WEEKDAY(DATE($A39,$B39,F39),2)=6,"●","")),"×")</f>
        <v/>
      </c>
      <c r="AP40" s="468" t="str">
        <f>IF(G39&lt;&gt;"",IF(OR(WEEKDAY(DATE($A39,$B39,G39),2)&gt;6,COUNTIF('休日情報(要更新)'!$A$5:$J$32,DATE($A39,$B39,G39)) &gt;=1),"○",IF(WEEKDAY(DATE($A39,$B39,G39),2)=6,"●","")),"×")</f>
        <v/>
      </c>
      <c r="AQ40" s="468" t="str">
        <f>IF(H39&lt;&gt;"",IF(OR(WEEKDAY(DATE($A39,$B39,H39),2)&gt;6,COUNTIF('休日情報(要更新)'!$A$5:$J$32,DATE($A39,$B39,H39)) &gt;=1),"○",IF(WEEKDAY(DATE($A39,$B39,H39),2)=6,"●","")),"×")</f>
        <v>●</v>
      </c>
      <c r="AR40" s="468" t="str">
        <f>IF(I39&lt;&gt;"",IF(OR(WEEKDAY(DATE($A39,$B39,I39),2)&gt;6,COUNTIF('休日情報(要更新)'!$A$5:$J$32,DATE($A39,$B39,I39)) &gt;=1),"○",IF(WEEKDAY(DATE($A39,$B39,I39),2)=6,"●","")),"×")</f>
        <v>○</v>
      </c>
      <c r="AS40" s="468" t="str">
        <f>IF(J39&lt;&gt;"",IF(OR(WEEKDAY(DATE($A39,$B39,J39),2)&gt;6,COUNTIF('休日情報(要更新)'!$A$5:$J$32,DATE($A39,$B39,J39)) &gt;=1),"○",IF(WEEKDAY(DATE($A39,$B39,J39),2)=6,"●","")),"×")</f>
        <v/>
      </c>
      <c r="AT40" s="468" t="str">
        <f>IF(K39&lt;&gt;"",IF(OR(WEEKDAY(DATE($A39,$B39,K39),2)&gt;6,COUNTIF('休日情報(要更新)'!$A$5:$J$32,DATE($A39,$B39,K39)) &gt;=1),"○",IF(WEEKDAY(DATE($A39,$B39,K39),2)=6,"●","")),"×")</f>
        <v/>
      </c>
      <c r="AU40" s="468" t="str">
        <f>IF(L39&lt;&gt;"",IF(OR(WEEKDAY(DATE($A39,$B39,L39),2)&gt;6,COUNTIF('休日情報(要更新)'!$A$5:$J$32,DATE($A39,$B39,L39)) &gt;=1),"○",IF(WEEKDAY(DATE($A39,$B39,L39),2)=6,"●","")),"×")</f>
        <v/>
      </c>
      <c r="AV40" s="468" t="str">
        <f>IF(M39&lt;&gt;"",IF(OR(WEEKDAY(DATE($A39,$B39,M39),2)&gt;6,COUNTIF('休日情報(要更新)'!$A$5:$J$32,DATE($A39,$B39,M39)) &gt;=1),"○",IF(WEEKDAY(DATE($A39,$B39,M39),2)=6,"●","")),"×")</f>
        <v/>
      </c>
      <c r="AW40" s="468" t="str">
        <f>IF(N39&lt;&gt;"",IF(OR(WEEKDAY(DATE($A39,$B39,N39),2)&gt;6,COUNTIF('休日情報(要更新)'!$A$5:$J$32,DATE($A39,$B39,N39)) &gt;=1),"○",IF(WEEKDAY(DATE($A39,$B39,N39),2)=6,"●","")),"×")</f>
        <v/>
      </c>
      <c r="AX40" s="468" t="str">
        <f>IF(O39&lt;&gt;"",IF(OR(WEEKDAY(DATE($A39,$B39,O39),2)&gt;6,COUNTIF('休日情報(要更新)'!$A$5:$J$32,DATE($A39,$B39,O39)) &gt;=1),"○",IF(WEEKDAY(DATE($A39,$B39,O39),2)=6,"●","")),"×")</f>
        <v>●</v>
      </c>
      <c r="AY40" s="468" t="str">
        <f>IF(P39&lt;&gt;"",IF(OR(WEEKDAY(DATE($A39,$B39,P39),2)&gt;6,COUNTIF('休日情報(要更新)'!$A$5:$J$32,DATE($A39,$B39,P39)) &gt;=1),"○",IF(WEEKDAY(DATE($A39,$B39,P39),2)=6,"●","")),"×")</f>
        <v>○</v>
      </c>
      <c r="AZ40" s="468" t="str">
        <f>IF(Q39&lt;&gt;"",IF(OR(WEEKDAY(DATE($A39,$B39,Q39),2)&gt;6,COUNTIF('休日情報(要更新)'!$A$5:$J$32,DATE($A39,$B39,Q39)) &gt;=1),"○",IF(WEEKDAY(DATE($A39,$B39,Q39),2)=6,"●","")),"×")</f>
        <v>○</v>
      </c>
      <c r="BA40" s="468" t="str">
        <f>IF(R39&lt;&gt;"",IF(OR(WEEKDAY(DATE($A39,$B39,R39),2)&gt;6,COUNTIF('休日情報(要更新)'!$A$5:$J$32,DATE($A39,$B39,R39)) &gt;=1),"○",IF(WEEKDAY(DATE($A39,$B39,R39),2)=6,"●","")),"×")</f>
        <v/>
      </c>
      <c r="BB40" s="468" t="str">
        <f>IF(S39&lt;&gt;"",IF(OR(WEEKDAY(DATE($A39,$B39,S39),2)&gt;6,COUNTIF('休日情報(要更新)'!$A$5:$J$32,DATE($A39,$B39,S39)) &gt;=1),"○",IF(WEEKDAY(DATE($A39,$B39,S39),2)=6,"●","")),"×")</f>
        <v/>
      </c>
      <c r="BC40" s="468" t="str">
        <f>IF(T39&lt;&gt;"",IF(OR(WEEKDAY(DATE($A39,$B39,T39),2)&gt;6,COUNTIF('休日情報(要更新)'!$A$5:$J$32,DATE($A39,$B39,T39)) &gt;=1),"○",IF(WEEKDAY(DATE($A39,$B39,T39),2)=6,"●","")),"×")</f>
        <v/>
      </c>
      <c r="BD40" s="468" t="str">
        <f>IF(U39&lt;&gt;"",IF(OR(WEEKDAY(DATE($A39,$B39,U39),2)&gt;6,COUNTIF('休日情報(要更新)'!$A$5:$J$32,DATE($A39,$B39,U39)) &gt;=1),"○",IF(WEEKDAY(DATE($A39,$B39,U39),2)=6,"●","")),"×")</f>
        <v/>
      </c>
      <c r="BE40" s="468" t="str">
        <f>IF(V39&lt;&gt;"",IF(OR(WEEKDAY(DATE($A39,$B39,V39),2)&gt;6,COUNTIF('休日情報(要更新)'!$A$5:$J$32,DATE($A39,$B39,V39)) &gt;=1),"○",IF(WEEKDAY(DATE($A39,$B39,V39),2)=6,"●","")),"×")</f>
        <v>●</v>
      </c>
      <c r="BF40" s="468" t="str">
        <f>IF(W39&lt;&gt;"",IF(OR(WEEKDAY(DATE($A39,$B39,W39),2)&gt;6,COUNTIF('休日情報(要更新)'!$A$5:$J$32,DATE($A39,$B39,W39)) &gt;=1),"○",IF(WEEKDAY(DATE($A39,$B39,W39),2)=6,"●","")),"×")</f>
        <v>○</v>
      </c>
      <c r="BG40" s="468" t="str">
        <f>IF(X39&lt;&gt;"",IF(OR(WEEKDAY(DATE($A39,$B39,X39),2)&gt;6,COUNTIF('休日情報(要更新)'!$A$5:$J$32,DATE($A39,$B39,X39)) &gt;=1),"○",IF(WEEKDAY(DATE($A39,$B39,X39),2)=6,"●","")),"×")</f>
        <v/>
      </c>
      <c r="BH40" s="468" t="str">
        <f>IF(Y39&lt;&gt;"",IF(OR(WEEKDAY(DATE($A39,$B39,Y39),2)&gt;6,COUNTIF('休日情報(要更新)'!$A$5:$J$32,DATE($A39,$B39,Y39)) &gt;=1),"○",IF(WEEKDAY(DATE($A39,$B39,Y39),2)=6,"●","")),"×")</f>
        <v/>
      </c>
      <c r="BI40" s="468" t="str">
        <f>IF(Z39&lt;&gt;"",IF(OR(WEEKDAY(DATE($A39,$B39,Z39),2)&gt;6,COUNTIF('休日情報(要更新)'!$A$5:$J$32,DATE($A39,$B39,Z39)) &gt;=1),"○",IF(WEEKDAY(DATE($A39,$B39,Z39),2)=6,"●","")),"×")</f>
        <v/>
      </c>
      <c r="BJ40" s="468" t="str">
        <f>IF(AA39&lt;&gt;"",IF(OR(WEEKDAY(DATE($A39,$B39,AA39),2)&gt;6,COUNTIF('休日情報(要更新)'!$A$5:$J$32,DATE($A39,$B39,AA39)) &gt;=1),"○",IF(WEEKDAY(DATE($A39,$B39,AA39),2)=6,"●","")),"×")</f>
        <v/>
      </c>
      <c r="BK40" s="468" t="str">
        <f>IF(AB39&lt;&gt;"",IF(OR(WEEKDAY(DATE($A39,$B39,AB39),2)&gt;6,COUNTIF('休日情報(要更新)'!$A$5:$J$32,DATE($A39,$B39,AB39)) &gt;=1),"○",IF(WEEKDAY(DATE($A39,$B39,AB39),2)=6,"●","")),"×")</f>
        <v/>
      </c>
      <c r="BL40" s="468" t="str">
        <f>IF(AC39&lt;&gt;"",IF(OR(WEEKDAY(DATE($A39,$B39,AC39),2)&gt;6,COUNTIF('休日情報(要更新)'!$A$5:$J$32,DATE($A39,$B39,AC39)) &gt;=1),"○",IF(WEEKDAY(DATE($A39,$B39,AC39),2)=6,"●","")),"×")</f>
        <v>●</v>
      </c>
      <c r="BM40" s="468" t="str">
        <f>IF(AD39&lt;&gt;"",IF(OR(WEEKDAY(DATE($A39,$B39,AD39),2)&gt;6,COUNTIF('休日情報(要更新)'!$A$5:$J$32,DATE($A39,$B39,AD39)) &gt;=1),"○",IF(WEEKDAY(DATE($A39,$B39,AD39),2)=6,"●","")),"×")</f>
        <v>○</v>
      </c>
      <c r="BN40" s="468" t="str">
        <f>IF(AE39&lt;&gt;"",IF(OR(WEEKDAY(DATE($A39,$B39,AE39),2)&gt;6,COUNTIF('休日情報(要更新)'!$A$5:$J$32,DATE($A39,$B39,AE39)) &gt;=1),"○",IF(WEEKDAY(DATE($A39,$B39,AE39),2)=6,"●","")),"×")</f>
        <v/>
      </c>
      <c r="BO40" s="468" t="str">
        <f>IF(AF39&lt;&gt;"",IF(OR(WEEKDAY(DATE($A39,$B39,AF39),2)&gt;6,COUNTIF('休日情報(要更新)'!$A$5:$J$32,DATE($A39,$B39,AF39)) &gt;=1),"○",IF(WEEKDAY(DATE($A39,$B39,AF39),2)=6,"●","")),"×")</f>
        <v/>
      </c>
      <c r="BP40" s="468" t="str">
        <f>IF(AG39&lt;&gt;"",IF(OR(WEEKDAY(DATE($A39,$B39,AG39),2)&gt;6,COUNTIF('休日情報(要更新)'!$A$5:$J$32,DATE($A39,$B39,AG39)) &gt;=1),"○",IF(WEEKDAY(DATE($A39,$B39,AG39),2)=6,"●","")),"×")</f>
        <v/>
      </c>
      <c r="BQ40" s="468" t="str">
        <f>IF(AH39&lt;&gt;"",IF(OR(WEEKDAY(DATE($A39,$B39,AH39),2)&gt;6,COUNTIF('休日情報(要更新)'!$A$5:$J$32,DATE($A39,$B39,AH39)) &gt;=1),"○",IF(WEEKDAY(DATE($A39,$B39,AH39),2)=6,"●","")),"×")</f>
        <v/>
      </c>
      <c r="BR40" s="468" t="str">
        <f>IF(AI39&lt;&gt;"",IF(OR(WEEKDAY(DATE($A39,$B39,AI39),2)&gt;6,COUNTIF('休日情報(要更新)'!$A$5:$J$32,DATE($A39,$B39,AI39)) &gt;=1),"○",IF(WEEKDAY(DATE($A39,$B39,AI39),2)=6,"●","")),"×")</f>
        <v/>
      </c>
    </row>
    <row r="41" spans="1:70" ht="12" customHeight="1">
      <c r="A41" s="1857"/>
      <c r="B41" s="1859"/>
      <c r="C41" s="1848"/>
      <c r="D41" s="486" t="s">
        <v>557</v>
      </c>
      <c r="E41" s="469"/>
      <c r="F41" s="470"/>
      <c r="G41" s="470"/>
      <c r="H41" s="470"/>
      <c r="I41" s="470"/>
      <c r="J41" s="470"/>
      <c r="K41" s="470"/>
      <c r="L41" s="470"/>
      <c r="M41" s="470"/>
      <c r="N41" s="470"/>
      <c r="O41" s="470"/>
      <c r="P41" s="470"/>
      <c r="Q41" s="470"/>
      <c r="R41" s="470"/>
      <c r="S41" s="470"/>
      <c r="T41" s="470"/>
      <c r="U41" s="470"/>
      <c r="V41" s="470"/>
      <c r="W41" s="470"/>
      <c r="X41" s="470"/>
      <c r="Y41" s="470"/>
      <c r="Z41" s="470"/>
      <c r="AA41" s="470"/>
      <c r="AB41" s="470"/>
      <c r="AC41" s="470"/>
      <c r="AD41" s="470"/>
      <c r="AE41" s="470"/>
      <c r="AF41" s="470"/>
      <c r="AG41" s="470"/>
      <c r="AH41" s="470"/>
      <c r="AI41" s="471"/>
      <c r="AJ41" s="472">
        <f>COUNTIFS(AN40:BR40,"",E41:AI41,"○")</f>
        <v>0</v>
      </c>
      <c r="AK41" s="473"/>
    </row>
    <row r="42" spans="1:70" ht="12.75" customHeight="1">
      <c r="A42" s="1857"/>
      <c r="B42" s="1859"/>
      <c r="C42" s="1849"/>
      <c r="D42" s="832" t="s">
        <v>558</v>
      </c>
      <c r="E42" s="833"/>
      <c r="F42" s="830"/>
      <c r="G42" s="830"/>
      <c r="H42" s="830"/>
      <c r="I42" s="830"/>
      <c r="J42" s="830"/>
      <c r="K42" s="830"/>
      <c r="L42" s="830"/>
      <c r="M42" s="830"/>
      <c r="N42" s="830"/>
      <c r="O42" s="830"/>
      <c r="P42" s="830"/>
      <c r="Q42" s="830"/>
      <c r="R42" s="830"/>
      <c r="S42" s="830"/>
      <c r="T42" s="830"/>
      <c r="U42" s="830"/>
      <c r="V42" s="830"/>
      <c r="W42" s="830"/>
      <c r="X42" s="830"/>
      <c r="Y42" s="830"/>
      <c r="Z42" s="830"/>
      <c r="AA42" s="830"/>
      <c r="AB42" s="830"/>
      <c r="AC42" s="830"/>
      <c r="AD42" s="830"/>
      <c r="AE42" s="830"/>
      <c r="AF42" s="830"/>
      <c r="AG42" s="830"/>
      <c r="AH42" s="830"/>
      <c r="AI42" s="831"/>
      <c r="AJ42" s="834">
        <f>COUNTIFS(E41:AI41,"○",AN40:BR40,"",E42:AI42,"○")</f>
        <v>0</v>
      </c>
    </row>
    <row r="43" spans="1:70" ht="12.75" customHeight="1">
      <c r="A43" s="967"/>
      <c r="B43" s="1860"/>
      <c r="C43" s="1846"/>
      <c r="D43" s="487" t="s">
        <v>943</v>
      </c>
      <c r="E43" s="475"/>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7"/>
      <c r="AJ43" s="478">
        <f>COUNTIFS(E41:AI41,"○",AN40:BR40,"",E42:AI42,"○",E43:AI43,"○")</f>
        <v>0</v>
      </c>
    </row>
    <row r="44" spans="1:70" ht="12" customHeight="1">
      <c r="A44" s="1857">
        <f>IF($AN$7=0,#REF!,$AN$7)+IF(AND($B44&gt;=1,$B44&lt;=3),1,0)</f>
        <v>2025</v>
      </c>
      <c r="B44" s="1858">
        <v>11</v>
      </c>
      <c r="C44" s="1846" t="s">
        <v>947</v>
      </c>
      <c r="D44" s="835" t="s">
        <v>547</v>
      </c>
      <c r="E44" s="836">
        <v>1</v>
      </c>
      <c r="F44" s="837">
        <v>2</v>
      </c>
      <c r="G44" s="837">
        <v>3</v>
      </c>
      <c r="H44" s="837">
        <v>4</v>
      </c>
      <c r="I44" s="837">
        <v>5</v>
      </c>
      <c r="J44" s="837">
        <v>6</v>
      </c>
      <c r="K44" s="837">
        <v>7</v>
      </c>
      <c r="L44" s="837">
        <v>8</v>
      </c>
      <c r="M44" s="837">
        <v>9</v>
      </c>
      <c r="N44" s="837">
        <v>10</v>
      </c>
      <c r="O44" s="837">
        <v>11</v>
      </c>
      <c r="P44" s="837">
        <v>12</v>
      </c>
      <c r="Q44" s="837">
        <v>13</v>
      </c>
      <c r="R44" s="837">
        <v>14</v>
      </c>
      <c r="S44" s="837">
        <v>15</v>
      </c>
      <c r="T44" s="837">
        <v>16</v>
      </c>
      <c r="U44" s="837">
        <v>17</v>
      </c>
      <c r="V44" s="837">
        <v>18</v>
      </c>
      <c r="W44" s="837">
        <v>19</v>
      </c>
      <c r="X44" s="837">
        <v>20</v>
      </c>
      <c r="Y44" s="837">
        <v>21</v>
      </c>
      <c r="Z44" s="837">
        <v>22</v>
      </c>
      <c r="AA44" s="837">
        <v>23</v>
      </c>
      <c r="AB44" s="837">
        <v>24</v>
      </c>
      <c r="AC44" s="837">
        <v>25</v>
      </c>
      <c r="AD44" s="837">
        <v>26</v>
      </c>
      <c r="AE44" s="837">
        <v>27</v>
      </c>
      <c r="AF44" s="837">
        <v>28</v>
      </c>
      <c r="AG44" s="837">
        <f>IF(MONTH(DATE($A44,B44,AF44+1))=B44,AF44+1,"")</f>
        <v>29</v>
      </c>
      <c r="AH44" s="837">
        <f t="shared" ref="AH44" si="19">IF(B44&lt;&gt;2,IF(AG44&lt;&gt;"",AG44+1,""),"")</f>
        <v>30</v>
      </c>
      <c r="AI44" s="838" t="str">
        <f t="shared" ref="AI44" si="20">IF(OR(B44=1,B44=3,B44=5,B44=7,B44=8,B44=10,B44=12),AH44+1,"")</f>
        <v/>
      </c>
      <c r="AJ44" s="1855" t="s">
        <v>19</v>
      </c>
      <c r="AK44" s="467"/>
      <c r="AL44" s="1854" t="s">
        <v>382</v>
      </c>
      <c r="AM44" s="1854"/>
      <c r="AN44" s="468">
        <v>1</v>
      </c>
      <c r="AO44" s="468">
        <v>2</v>
      </c>
      <c r="AP44" s="468">
        <v>3</v>
      </c>
      <c r="AQ44" s="468">
        <v>4</v>
      </c>
      <c r="AR44" s="468">
        <v>5</v>
      </c>
      <c r="AS44" s="468">
        <v>6</v>
      </c>
      <c r="AT44" s="468">
        <v>7</v>
      </c>
      <c r="AU44" s="468">
        <v>8</v>
      </c>
      <c r="AV44" s="468">
        <v>9</v>
      </c>
      <c r="AW44" s="468">
        <v>10</v>
      </c>
      <c r="AX44" s="468">
        <v>11</v>
      </c>
      <c r="AY44" s="468">
        <v>12</v>
      </c>
      <c r="AZ44" s="468">
        <v>13</v>
      </c>
      <c r="BA44" s="468">
        <v>14</v>
      </c>
      <c r="BB44" s="468">
        <v>15</v>
      </c>
      <c r="BC44" s="468">
        <v>16</v>
      </c>
      <c r="BD44" s="468">
        <v>17</v>
      </c>
      <c r="BE44" s="468">
        <v>18</v>
      </c>
      <c r="BF44" s="468">
        <v>19</v>
      </c>
      <c r="BG44" s="468">
        <v>20</v>
      </c>
      <c r="BH44" s="468">
        <v>21</v>
      </c>
      <c r="BI44" s="468">
        <v>22</v>
      </c>
      <c r="BJ44" s="468">
        <v>23</v>
      </c>
      <c r="BK44" s="468">
        <v>24</v>
      </c>
      <c r="BL44" s="468">
        <v>25</v>
      </c>
      <c r="BM44" s="468">
        <v>26</v>
      </c>
      <c r="BN44" s="468">
        <v>27</v>
      </c>
      <c r="BO44" s="468">
        <v>28</v>
      </c>
      <c r="BP44" s="468">
        <v>29</v>
      </c>
      <c r="BQ44" s="468">
        <v>30</v>
      </c>
      <c r="BR44" s="468">
        <v>31</v>
      </c>
    </row>
    <row r="45" spans="1:70" ht="12" customHeight="1">
      <c r="A45" s="1857"/>
      <c r="B45" s="1859"/>
      <c r="C45" s="1847"/>
      <c r="D45" s="485" t="s">
        <v>383</v>
      </c>
      <c r="E45" s="978" t="str">
        <f t="shared" ref="E45:AI45" si="21">IF(E44&lt;&gt;"",HLOOKUP(WEEKDAY(DATE($A44,$B44,E44)),$AP$1:$AV$2,2,FALSE),"")</f>
        <v>（土）</v>
      </c>
      <c r="F45" s="980" t="str">
        <f t="shared" si="21"/>
        <v>（日）</v>
      </c>
      <c r="G45" s="980" t="str">
        <f t="shared" si="21"/>
        <v>（月）</v>
      </c>
      <c r="H45" s="980" t="str">
        <f t="shared" si="21"/>
        <v>（火）</v>
      </c>
      <c r="I45" s="980" t="str">
        <f t="shared" si="21"/>
        <v>（水）</v>
      </c>
      <c r="J45" s="980" t="str">
        <f t="shared" si="21"/>
        <v>（木）</v>
      </c>
      <c r="K45" s="980" t="str">
        <f t="shared" si="21"/>
        <v>（金）</v>
      </c>
      <c r="L45" s="980" t="str">
        <f t="shared" si="21"/>
        <v>（土）</v>
      </c>
      <c r="M45" s="980" t="str">
        <f t="shared" si="21"/>
        <v>（日）</v>
      </c>
      <c r="N45" s="980" t="str">
        <f t="shared" si="21"/>
        <v>（月）</v>
      </c>
      <c r="O45" s="980" t="str">
        <f t="shared" si="21"/>
        <v>（火）</v>
      </c>
      <c r="P45" s="980" t="str">
        <f t="shared" si="21"/>
        <v>（水）</v>
      </c>
      <c r="Q45" s="980" t="str">
        <f t="shared" si="21"/>
        <v>（木）</v>
      </c>
      <c r="R45" s="980" t="str">
        <f t="shared" si="21"/>
        <v>（金）</v>
      </c>
      <c r="S45" s="980" t="str">
        <f t="shared" si="21"/>
        <v>（土）</v>
      </c>
      <c r="T45" s="980" t="str">
        <f t="shared" si="21"/>
        <v>（日）</v>
      </c>
      <c r="U45" s="980" t="str">
        <f t="shared" si="21"/>
        <v>（月）</v>
      </c>
      <c r="V45" s="980" t="str">
        <f t="shared" si="21"/>
        <v>（火）</v>
      </c>
      <c r="W45" s="980" t="str">
        <f t="shared" si="21"/>
        <v>（水）</v>
      </c>
      <c r="X45" s="980" t="str">
        <f t="shared" si="21"/>
        <v>（木）</v>
      </c>
      <c r="Y45" s="980" t="str">
        <f t="shared" si="21"/>
        <v>（金）</v>
      </c>
      <c r="Z45" s="980" t="str">
        <f t="shared" si="21"/>
        <v>（土）</v>
      </c>
      <c r="AA45" s="980" t="str">
        <f t="shared" si="21"/>
        <v>（日）</v>
      </c>
      <c r="AB45" s="980" t="str">
        <f t="shared" si="21"/>
        <v>（月）</v>
      </c>
      <c r="AC45" s="980" t="str">
        <f t="shared" si="21"/>
        <v>（火）</v>
      </c>
      <c r="AD45" s="980" t="str">
        <f t="shared" si="21"/>
        <v>（水）</v>
      </c>
      <c r="AE45" s="980" t="str">
        <f t="shared" si="21"/>
        <v>（木）</v>
      </c>
      <c r="AF45" s="980" t="str">
        <f t="shared" si="21"/>
        <v>（金）</v>
      </c>
      <c r="AG45" s="980" t="str">
        <f t="shared" si="21"/>
        <v>（土）</v>
      </c>
      <c r="AH45" s="980" t="str">
        <f t="shared" si="21"/>
        <v>（日）</v>
      </c>
      <c r="AI45" s="979" t="str">
        <f t="shared" si="21"/>
        <v/>
      </c>
      <c r="AJ45" s="1856"/>
      <c r="AK45" s="467"/>
      <c r="AL45" s="1854" t="s">
        <v>410</v>
      </c>
      <c r="AM45" s="1854"/>
      <c r="AN45" s="468" t="str">
        <f>IF(E44&lt;&gt;"",IF(OR(WEEKDAY(DATE($A44,$B44,E44),2)&gt;6,COUNTIF('休日情報(要更新)'!$A$5:$J$32,DATE($A44,$B44,E44)) &gt;=1),"○",IF(WEEKDAY(DATE($A44,$B44,E44),2)=6,"●","")),"×")</f>
        <v>●</v>
      </c>
      <c r="AO45" s="468" t="str">
        <f>IF(F44&lt;&gt;"",IF(OR(WEEKDAY(DATE($A44,$B44,F44),2)&gt;6,COUNTIF('休日情報(要更新)'!$A$5:$J$32,DATE($A44,$B44,F44)) &gt;=1),"○",IF(WEEKDAY(DATE($A44,$B44,F44),2)=6,"●","")),"×")</f>
        <v>○</v>
      </c>
      <c r="AP45" s="468" t="str">
        <f>IF(G44&lt;&gt;"",IF(OR(WEEKDAY(DATE($A44,$B44,G44),2)&gt;6,COUNTIF('休日情報(要更新)'!$A$5:$J$32,DATE($A44,$B44,G44)) &gt;=1),"○",IF(WEEKDAY(DATE($A44,$B44,G44),2)=6,"●","")),"×")</f>
        <v>○</v>
      </c>
      <c r="AQ45" s="468" t="str">
        <f>IF(H44&lt;&gt;"",IF(OR(WEEKDAY(DATE($A44,$B44,H44),2)&gt;6,COUNTIF('休日情報(要更新)'!$A$5:$J$32,DATE($A44,$B44,H44)) &gt;=1),"○",IF(WEEKDAY(DATE($A44,$B44,H44),2)=6,"●","")),"×")</f>
        <v/>
      </c>
      <c r="AR45" s="468" t="str">
        <f>IF(I44&lt;&gt;"",IF(OR(WEEKDAY(DATE($A44,$B44,I44),2)&gt;6,COUNTIF('休日情報(要更新)'!$A$5:$J$32,DATE($A44,$B44,I44)) &gt;=1),"○",IF(WEEKDAY(DATE($A44,$B44,I44),2)=6,"●","")),"×")</f>
        <v/>
      </c>
      <c r="AS45" s="468" t="str">
        <f>IF(J44&lt;&gt;"",IF(OR(WEEKDAY(DATE($A44,$B44,J44),2)&gt;6,COUNTIF('休日情報(要更新)'!$A$5:$J$32,DATE($A44,$B44,J44)) &gt;=1),"○",IF(WEEKDAY(DATE($A44,$B44,J44),2)=6,"●","")),"×")</f>
        <v/>
      </c>
      <c r="AT45" s="468" t="str">
        <f>IF(K44&lt;&gt;"",IF(OR(WEEKDAY(DATE($A44,$B44,K44),2)&gt;6,COUNTIF('休日情報(要更新)'!$A$5:$J$32,DATE($A44,$B44,K44)) &gt;=1),"○",IF(WEEKDAY(DATE($A44,$B44,K44),2)=6,"●","")),"×")</f>
        <v/>
      </c>
      <c r="AU45" s="468" t="str">
        <f>IF(L44&lt;&gt;"",IF(OR(WEEKDAY(DATE($A44,$B44,L44),2)&gt;6,COUNTIF('休日情報(要更新)'!$A$5:$J$32,DATE($A44,$B44,L44)) &gt;=1),"○",IF(WEEKDAY(DATE($A44,$B44,L44),2)=6,"●","")),"×")</f>
        <v>●</v>
      </c>
      <c r="AV45" s="468" t="str">
        <f>IF(M44&lt;&gt;"",IF(OR(WEEKDAY(DATE($A44,$B44,M44),2)&gt;6,COUNTIF('休日情報(要更新)'!$A$5:$J$32,DATE($A44,$B44,M44)) &gt;=1),"○",IF(WEEKDAY(DATE($A44,$B44,M44),2)=6,"●","")),"×")</f>
        <v>○</v>
      </c>
      <c r="AW45" s="468" t="str">
        <f>IF(N44&lt;&gt;"",IF(OR(WEEKDAY(DATE($A44,$B44,N44),2)&gt;6,COUNTIF('休日情報(要更新)'!$A$5:$J$32,DATE($A44,$B44,N44)) &gt;=1),"○",IF(WEEKDAY(DATE($A44,$B44,N44),2)=6,"●","")),"×")</f>
        <v/>
      </c>
      <c r="AX45" s="468" t="str">
        <f>IF(O44&lt;&gt;"",IF(OR(WEEKDAY(DATE($A44,$B44,O44),2)&gt;6,COUNTIF('休日情報(要更新)'!$A$5:$J$32,DATE($A44,$B44,O44)) &gt;=1),"○",IF(WEEKDAY(DATE($A44,$B44,O44),2)=6,"●","")),"×")</f>
        <v/>
      </c>
      <c r="AY45" s="468" t="str">
        <f>IF(P44&lt;&gt;"",IF(OR(WEEKDAY(DATE($A44,$B44,P44),2)&gt;6,COUNTIF('休日情報(要更新)'!$A$5:$J$32,DATE($A44,$B44,P44)) &gt;=1),"○",IF(WEEKDAY(DATE($A44,$B44,P44),2)=6,"●","")),"×")</f>
        <v/>
      </c>
      <c r="AZ45" s="468" t="str">
        <f>IF(Q44&lt;&gt;"",IF(OR(WEEKDAY(DATE($A44,$B44,Q44),2)&gt;6,COUNTIF('休日情報(要更新)'!$A$5:$J$32,DATE($A44,$B44,Q44)) &gt;=1),"○",IF(WEEKDAY(DATE($A44,$B44,Q44),2)=6,"●","")),"×")</f>
        <v/>
      </c>
      <c r="BA45" s="468" t="str">
        <f>IF(R44&lt;&gt;"",IF(OR(WEEKDAY(DATE($A44,$B44,R44),2)&gt;6,COUNTIF('休日情報(要更新)'!$A$5:$J$32,DATE($A44,$B44,R44)) &gt;=1),"○",IF(WEEKDAY(DATE($A44,$B44,R44),2)=6,"●","")),"×")</f>
        <v/>
      </c>
      <c r="BB45" s="468" t="str">
        <f>IF(S44&lt;&gt;"",IF(OR(WEEKDAY(DATE($A44,$B44,S44),2)&gt;6,COUNTIF('休日情報(要更新)'!$A$5:$J$32,DATE($A44,$B44,S44)) &gt;=1),"○",IF(WEEKDAY(DATE($A44,$B44,S44),2)=6,"●","")),"×")</f>
        <v>●</v>
      </c>
      <c r="BC45" s="468" t="str">
        <f>IF(T44&lt;&gt;"",IF(OR(WEEKDAY(DATE($A44,$B44,T44),2)&gt;6,COUNTIF('休日情報(要更新)'!$A$5:$J$32,DATE($A44,$B44,T44)) &gt;=1),"○",IF(WEEKDAY(DATE($A44,$B44,T44),2)=6,"●","")),"×")</f>
        <v>○</v>
      </c>
      <c r="BD45" s="468" t="str">
        <f>IF(U44&lt;&gt;"",IF(OR(WEEKDAY(DATE($A44,$B44,U44),2)&gt;6,COUNTIF('休日情報(要更新)'!$A$5:$J$32,DATE($A44,$B44,U44)) &gt;=1),"○",IF(WEEKDAY(DATE($A44,$B44,U44),2)=6,"●","")),"×")</f>
        <v/>
      </c>
      <c r="BE45" s="468" t="str">
        <f>IF(V44&lt;&gt;"",IF(OR(WEEKDAY(DATE($A44,$B44,V44),2)&gt;6,COUNTIF('休日情報(要更新)'!$A$5:$J$32,DATE($A44,$B44,V44)) &gt;=1),"○",IF(WEEKDAY(DATE($A44,$B44,V44),2)=6,"●","")),"×")</f>
        <v/>
      </c>
      <c r="BF45" s="468" t="str">
        <f>IF(W44&lt;&gt;"",IF(OR(WEEKDAY(DATE($A44,$B44,W44),2)&gt;6,COUNTIF('休日情報(要更新)'!$A$5:$J$32,DATE($A44,$B44,W44)) &gt;=1),"○",IF(WEEKDAY(DATE($A44,$B44,W44),2)=6,"●","")),"×")</f>
        <v/>
      </c>
      <c r="BG45" s="468" t="str">
        <f>IF(X44&lt;&gt;"",IF(OR(WEEKDAY(DATE($A44,$B44,X44),2)&gt;6,COUNTIF('休日情報(要更新)'!$A$5:$J$32,DATE($A44,$B44,X44)) &gt;=1),"○",IF(WEEKDAY(DATE($A44,$B44,X44),2)=6,"●","")),"×")</f>
        <v/>
      </c>
      <c r="BH45" s="468" t="str">
        <f>IF(Y44&lt;&gt;"",IF(OR(WEEKDAY(DATE($A44,$B44,Y44),2)&gt;6,COUNTIF('休日情報(要更新)'!$A$5:$J$32,DATE($A44,$B44,Y44)) &gt;=1),"○",IF(WEEKDAY(DATE($A44,$B44,Y44),2)=6,"●","")),"×")</f>
        <v/>
      </c>
      <c r="BI45" s="468" t="str">
        <f>IF(Z44&lt;&gt;"",IF(OR(WEEKDAY(DATE($A44,$B44,Z44),2)&gt;6,COUNTIF('休日情報(要更新)'!$A$5:$J$32,DATE($A44,$B44,Z44)) &gt;=1),"○",IF(WEEKDAY(DATE($A44,$B44,Z44),2)=6,"●","")),"×")</f>
        <v>●</v>
      </c>
      <c r="BJ45" s="468" t="str">
        <f>IF(AA44&lt;&gt;"",IF(OR(WEEKDAY(DATE($A44,$B44,AA44),2)&gt;6,COUNTIF('休日情報(要更新)'!$A$5:$J$32,DATE($A44,$B44,AA44)) &gt;=1),"○",IF(WEEKDAY(DATE($A44,$B44,AA44),2)=6,"●","")),"×")</f>
        <v>○</v>
      </c>
      <c r="BK45" s="468" t="str">
        <f>IF(AB44&lt;&gt;"",IF(OR(WEEKDAY(DATE($A44,$B44,AB44),2)&gt;6,COUNTIF('休日情報(要更新)'!$A$5:$J$32,DATE($A44,$B44,AB44)) &gt;=1),"○",IF(WEEKDAY(DATE($A44,$B44,AB44),2)=6,"●","")),"×")</f>
        <v>○</v>
      </c>
      <c r="BL45" s="468" t="str">
        <f>IF(AC44&lt;&gt;"",IF(OR(WEEKDAY(DATE($A44,$B44,AC44),2)&gt;6,COUNTIF('休日情報(要更新)'!$A$5:$J$32,DATE($A44,$B44,AC44)) &gt;=1),"○",IF(WEEKDAY(DATE($A44,$B44,AC44),2)=6,"●","")),"×")</f>
        <v/>
      </c>
      <c r="BM45" s="468" t="str">
        <f>IF(AD44&lt;&gt;"",IF(OR(WEEKDAY(DATE($A44,$B44,AD44),2)&gt;6,COUNTIF('休日情報(要更新)'!$A$5:$J$32,DATE($A44,$B44,AD44)) &gt;=1),"○",IF(WEEKDAY(DATE($A44,$B44,AD44),2)=6,"●","")),"×")</f>
        <v/>
      </c>
      <c r="BN45" s="468" t="str">
        <f>IF(AE44&lt;&gt;"",IF(OR(WEEKDAY(DATE($A44,$B44,AE44),2)&gt;6,COUNTIF('休日情報(要更新)'!$A$5:$J$32,DATE($A44,$B44,AE44)) &gt;=1),"○",IF(WEEKDAY(DATE($A44,$B44,AE44),2)=6,"●","")),"×")</f>
        <v/>
      </c>
      <c r="BO45" s="468" t="str">
        <f>IF(AF44&lt;&gt;"",IF(OR(WEEKDAY(DATE($A44,$B44,AF44),2)&gt;6,COUNTIF('休日情報(要更新)'!$A$5:$J$32,DATE($A44,$B44,AF44)) &gt;=1),"○",IF(WEEKDAY(DATE($A44,$B44,AF44),2)=6,"●","")),"×")</f>
        <v/>
      </c>
      <c r="BP45" s="468" t="str">
        <f>IF(AG44&lt;&gt;"",IF(OR(WEEKDAY(DATE($A44,$B44,AG44),2)&gt;6,COUNTIF('休日情報(要更新)'!$A$5:$J$32,DATE($A44,$B44,AG44)) &gt;=1),"○",IF(WEEKDAY(DATE($A44,$B44,AG44),2)=6,"●","")),"×")</f>
        <v>●</v>
      </c>
      <c r="BQ45" s="468" t="str">
        <f>IF(AH44&lt;&gt;"",IF(OR(WEEKDAY(DATE($A44,$B44,AH44),2)&gt;6,COUNTIF('休日情報(要更新)'!$A$5:$J$32,DATE($A44,$B44,AH44)) &gt;=1),"○",IF(WEEKDAY(DATE($A44,$B44,AH44),2)=6,"●","")),"×")</f>
        <v>○</v>
      </c>
      <c r="BR45" s="468" t="str">
        <f>IF(AI44&lt;&gt;"",IF(OR(WEEKDAY(DATE($A44,$B44,AI44),2)&gt;6,COUNTIF('休日情報(要更新)'!$A$5:$J$32,DATE($A44,$B44,AI44)) &gt;=1),"○",IF(WEEKDAY(DATE($A44,$B44,AI44),2)=6,"●","")),"×")</f>
        <v>×</v>
      </c>
    </row>
    <row r="46" spans="1:70" ht="12" customHeight="1">
      <c r="A46" s="1857"/>
      <c r="B46" s="1859"/>
      <c r="C46" s="1848"/>
      <c r="D46" s="486" t="s">
        <v>557</v>
      </c>
      <c r="E46" s="469"/>
      <c r="F46" s="470"/>
      <c r="G46" s="470"/>
      <c r="H46" s="470"/>
      <c r="I46" s="470"/>
      <c r="J46" s="470"/>
      <c r="K46" s="470"/>
      <c r="L46" s="470"/>
      <c r="M46" s="470"/>
      <c r="N46" s="470"/>
      <c r="O46" s="470"/>
      <c r="P46" s="470"/>
      <c r="Q46" s="470"/>
      <c r="R46" s="470"/>
      <c r="S46" s="470"/>
      <c r="T46" s="470"/>
      <c r="U46" s="470"/>
      <c r="V46" s="470"/>
      <c r="W46" s="470"/>
      <c r="X46" s="470"/>
      <c r="Y46" s="470"/>
      <c r="Z46" s="470"/>
      <c r="AA46" s="470"/>
      <c r="AB46" s="470"/>
      <c r="AC46" s="470"/>
      <c r="AD46" s="470"/>
      <c r="AE46" s="470"/>
      <c r="AF46" s="470"/>
      <c r="AG46" s="470"/>
      <c r="AH46" s="470"/>
      <c r="AI46" s="471"/>
      <c r="AJ46" s="472">
        <f>COUNTIFS(AN45:BR45,"",E46:AI46,"○")</f>
        <v>0</v>
      </c>
      <c r="AK46" s="473"/>
    </row>
    <row r="47" spans="1:70" ht="12.75" customHeight="1">
      <c r="A47" s="1857"/>
      <c r="B47" s="1859"/>
      <c r="C47" s="1849"/>
      <c r="D47" s="832" t="s">
        <v>558</v>
      </c>
      <c r="E47" s="833"/>
      <c r="F47" s="830"/>
      <c r="G47" s="830"/>
      <c r="H47" s="830"/>
      <c r="I47" s="830"/>
      <c r="J47" s="830"/>
      <c r="K47" s="830"/>
      <c r="L47" s="830"/>
      <c r="M47" s="830"/>
      <c r="N47" s="830"/>
      <c r="O47" s="830"/>
      <c r="P47" s="830"/>
      <c r="Q47" s="830"/>
      <c r="R47" s="830"/>
      <c r="S47" s="830"/>
      <c r="T47" s="830"/>
      <c r="U47" s="830"/>
      <c r="V47" s="830"/>
      <c r="W47" s="830"/>
      <c r="X47" s="830"/>
      <c r="Y47" s="830"/>
      <c r="Z47" s="830"/>
      <c r="AA47" s="830"/>
      <c r="AB47" s="830"/>
      <c r="AC47" s="830"/>
      <c r="AD47" s="830"/>
      <c r="AE47" s="830"/>
      <c r="AF47" s="830"/>
      <c r="AG47" s="830"/>
      <c r="AH47" s="830"/>
      <c r="AI47" s="831"/>
      <c r="AJ47" s="834">
        <f>COUNTIFS(E46:AI46,"○",AN45:BR45,"",E47:AI47,"○")</f>
        <v>0</v>
      </c>
    </row>
    <row r="48" spans="1:70" ht="12.75" customHeight="1">
      <c r="A48" s="967"/>
      <c r="B48" s="1860"/>
      <c r="C48" s="1846"/>
      <c r="D48" s="487" t="s">
        <v>943</v>
      </c>
      <c r="E48" s="475"/>
      <c r="F48" s="476"/>
      <c r="G48" s="476"/>
      <c r="H48" s="476"/>
      <c r="I48" s="476"/>
      <c r="J48" s="476"/>
      <c r="K48" s="476"/>
      <c r="L48" s="476"/>
      <c r="M48" s="476"/>
      <c r="N48" s="476"/>
      <c r="O48" s="476"/>
      <c r="P48" s="476"/>
      <c r="Q48" s="476"/>
      <c r="R48" s="476"/>
      <c r="S48" s="476"/>
      <c r="T48" s="476"/>
      <c r="U48" s="476"/>
      <c r="V48" s="476"/>
      <c r="W48" s="476"/>
      <c r="X48" s="476"/>
      <c r="Y48" s="476"/>
      <c r="Z48" s="476"/>
      <c r="AA48" s="476"/>
      <c r="AB48" s="476"/>
      <c r="AC48" s="476"/>
      <c r="AD48" s="476"/>
      <c r="AE48" s="476"/>
      <c r="AF48" s="476"/>
      <c r="AG48" s="476"/>
      <c r="AH48" s="476"/>
      <c r="AI48" s="477"/>
      <c r="AJ48" s="478">
        <f>COUNTIFS(E46:AI46,"○",AN45:BR45,"",E47:AI47,"○",E48:AI48,"○")</f>
        <v>0</v>
      </c>
    </row>
    <row r="49" spans="1:70" ht="12" customHeight="1">
      <c r="A49" s="1857">
        <f>IF($AN$7=0,#REF!,$AN$7)+IF(AND($B49&gt;=1,$B49&lt;=3),1,0)</f>
        <v>2025</v>
      </c>
      <c r="B49" s="1858">
        <v>12</v>
      </c>
      <c r="C49" s="1846" t="s">
        <v>947</v>
      </c>
      <c r="D49" s="835" t="s">
        <v>547</v>
      </c>
      <c r="E49" s="836">
        <v>1</v>
      </c>
      <c r="F49" s="837">
        <v>2</v>
      </c>
      <c r="G49" s="837">
        <v>3</v>
      </c>
      <c r="H49" s="837">
        <v>4</v>
      </c>
      <c r="I49" s="837">
        <v>5</v>
      </c>
      <c r="J49" s="837">
        <v>6</v>
      </c>
      <c r="K49" s="837">
        <v>7</v>
      </c>
      <c r="L49" s="837">
        <v>8</v>
      </c>
      <c r="M49" s="837">
        <v>9</v>
      </c>
      <c r="N49" s="837">
        <v>10</v>
      </c>
      <c r="O49" s="837">
        <v>11</v>
      </c>
      <c r="P49" s="837">
        <v>12</v>
      </c>
      <c r="Q49" s="837">
        <v>13</v>
      </c>
      <c r="R49" s="837">
        <v>14</v>
      </c>
      <c r="S49" s="837">
        <v>15</v>
      </c>
      <c r="T49" s="837">
        <v>16</v>
      </c>
      <c r="U49" s="837">
        <v>17</v>
      </c>
      <c r="V49" s="837">
        <v>18</v>
      </c>
      <c r="W49" s="837">
        <v>19</v>
      </c>
      <c r="X49" s="837">
        <v>20</v>
      </c>
      <c r="Y49" s="837">
        <v>21</v>
      </c>
      <c r="Z49" s="837">
        <v>22</v>
      </c>
      <c r="AA49" s="837">
        <v>23</v>
      </c>
      <c r="AB49" s="837">
        <v>24</v>
      </c>
      <c r="AC49" s="837">
        <v>25</v>
      </c>
      <c r="AD49" s="837">
        <v>26</v>
      </c>
      <c r="AE49" s="837">
        <v>27</v>
      </c>
      <c r="AF49" s="837">
        <v>28</v>
      </c>
      <c r="AG49" s="837">
        <f>IF(MONTH(DATE($A49,B49,AF49+1))=B49,AF49+1,"")</f>
        <v>29</v>
      </c>
      <c r="AH49" s="837">
        <f t="shared" ref="AH49" si="22">IF(B49&lt;&gt;2,IF(AG49&lt;&gt;"",AG49+1,""),"")</f>
        <v>30</v>
      </c>
      <c r="AI49" s="838">
        <f t="shared" ref="AI49" si="23">IF(OR(B49=1,B49=3,B49=5,B49=7,B49=8,B49=10,B49=12),AH49+1,"")</f>
        <v>31</v>
      </c>
      <c r="AJ49" s="1855" t="s">
        <v>19</v>
      </c>
      <c r="AK49" s="467"/>
      <c r="AL49" s="1854" t="s">
        <v>382</v>
      </c>
      <c r="AM49" s="1854"/>
      <c r="AN49" s="468">
        <v>1</v>
      </c>
      <c r="AO49" s="468">
        <v>2</v>
      </c>
      <c r="AP49" s="468">
        <v>3</v>
      </c>
      <c r="AQ49" s="468">
        <v>4</v>
      </c>
      <c r="AR49" s="468">
        <v>5</v>
      </c>
      <c r="AS49" s="468">
        <v>6</v>
      </c>
      <c r="AT49" s="468">
        <v>7</v>
      </c>
      <c r="AU49" s="468">
        <v>8</v>
      </c>
      <c r="AV49" s="468">
        <v>9</v>
      </c>
      <c r="AW49" s="468">
        <v>10</v>
      </c>
      <c r="AX49" s="468">
        <v>11</v>
      </c>
      <c r="AY49" s="468">
        <v>12</v>
      </c>
      <c r="AZ49" s="468">
        <v>13</v>
      </c>
      <c r="BA49" s="468">
        <v>14</v>
      </c>
      <c r="BB49" s="468">
        <v>15</v>
      </c>
      <c r="BC49" s="468">
        <v>16</v>
      </c>
      <c r="BD49" s="468">
        <v>17</v>
      </c>
      <c r="BE49" s="468">
        <v>18</v>
      </c>
      <c r="BF49" s="468">
        <v>19</v>
      </c>
      <c r="BG49" s="468">
        <v>20</v>
      </c>
      <c r="BH49" s="468">
        <v>21</v>
      </c>
      <c r="BI49" s="468">
        <v>22</v>
      </c>
      <c r="BJ49" s="468">
        <v>23</v>
      </c>
      <c r="BK49" s="468">
        <v>24</v>
      </c>
      <c r="BL49" s="468">
        <v>25</v>
      </c>
      <c r="BM49" s="468">
        <v>26</v>
      </c>
      <c r="BN49" s="468">
        <v>27</v>
      </c>
      <c r="BO49" s="468">
        <v>28</v>
      </c>
      <c r="BP49" s="468">
        <v>29</v>
      </c>
      <c r="BQ49" s="468">
        <v>30</v>
      </c>
      <c r="BR49" s="468">
        <v>31</v>
      </c>
    </row>
    <row r="50" spans="1:70" ht="12" customHeight="1">
      <c r="A50" s="1857"/>
      <c r="B50" s="1859"/>
      <c r="C50" s="1847"/>
      <c r="D50" s="485" t="s">
        <v>383</v>
      </c>
      <c r="E50" s="978" t="str">
        <f t="shared" ref="E50:AI50" si="24">IF(E49&lt;&gt;"",HLOOKUP(WEEKDAY(DATE($A49,$B49,E49)),$AP$1:$AV$2,2,FALSE),"")</f>
        <v>（月）</v>
      </c>
      <c r="F50" s="980" t="str">
        <f t="shared" si="24"/>
        <v>（火）</v>
      </c>
      <c r="G50" s="980" t="str">
        <f t="shared" si="24"/>
        <v>（水）</v>
      </c>
      <c r="H50" s="980" t="str">
        <f t="shared" si="24"/>
        <v>（木）</v>
      </c>
      <c r="I50" s="980" t="str">
        <f t="shared" si="24"/>
        <v>（金）</v>
      </c>
      <c r="J50" s="980" t="str">
        <f t="shared" si="24"/>
        <v>（土）</v>
      </c>
      <c r="K50" s="980" t="str">
        <f t="shared" si="24"/>
        <v>（日）</v>
      </c>
      <c r="L50" s="980" t="str">
        <f t="shared" si="24"/>
        <v>（月）</v>
      </c>
      <c r="M50" s="980" t="str">
        <f t="shared" si="24"/>
        <v>（火）</v>
      </c>
      <c r="N50" s="980" t="str">
        <f t="shared" si="24"/>
        <v>（水）</v>
      </c>
      <c r="O50" s="980" t="str">
        <f t="shared" si="24"/>
        <v>（木）</v>
      </c>
      <c r="P50" s="980" t="str">
        <f t="shared" si="24"/>
        <v>（金）</v>
      </c>
      <c r="Q50" s="980" t="str">
        <f t="shared" si="24"/>
        <v>（土）</v>
      </c>
      <c r="R50" s="980" t="str">
        <f t="shared" si="24"/>
        <v>（日）</v>
      </c>
      <c r="S50" s="980" t="str">
        <f t="shared" si="24"/>
        <v>（月）</v>
      </c>
      <c r="T50" s="980" t="str">
        <f t="shared" si="24"/>
        <v>（火）</v>
      </c>
      <c r="U50" s="980" t="str">
        <f t="shared" si="24"/>
        <v>（水）</v>
      </c>
      <c r="V50" s="980" t="str">
        <f t="shared" si="24"/>
        <v>（木）</v>
      </c>
      <c r="W50" s="980" t="str">
        <f t="shared" si="24"/>
        <v>（金）</v>
      </c>
      <c r="X50" s="980" t="str">
        <f t="shared" si="24"/>
        <v>（土）</v>
      </c>
      <c r="Y50" s="980" t="str">
        <f t="shared" si="24"/>
        <v>（日）</v>
      </c>
      <c r="Z50" s="980" t="str">
        <f t="shared" si="24"/>
        <v>（月）</v>
      </c>
      <c r="AA50" s="980" t="str">
        <f t="shared" si="24"/>
        <v>（火）</v>
      </c>
      <c r="AB50" s="980" t="str">
        <f t="shared" si="24"/>
        <v>（水）</v>
      </c>
      <c r="AC50" s="980" t="str">
        <f t="shared" si="24"/>
        <v>（木）</v>
      </c>
      <c r="AD50" s="980" t="str">
        <f t="shared" si="24"/>
        <v>（金）</v>
      </c>
      <c r="AE50" s="980" t="str">
        <f t="shared" si="24"/>
        <v>（土）</v>
      </c>
      <c r="AF50" s="980" t="str">
        <f t="shared" si="24"/>
        <v>（日）</v>
      </c>
      <c r="AG50" s="980" t="str">
        <f t="shared" si="24"/>
        <v>（月）</v>
      </c>
      <c r="AH50" s="980" t="str">
        <f t="shared" si="24"/>
        <v>（火）</v>
      </c>
      <c r="AI50" s="979" t="str">
        <f t="shared" si="24"/>
        <v>（水）</v>
      </c>
      <c r="AJ50" s="1856"/>
      <c r="AK50" s="467"/>
      <c r="AL50" s="1854" t="s">
        <v>410</v>
      </c>
      <c r="AM50" s="1854"/>
      <c r="AN50" s="468" t="str">
        <f>IF(E49&lt;&gt;"",IF(OR(WEEKDAY(DATE($A49,$B49,E49),2)&gt;6,COUNTIF('休日情報(要更新)'!$A$5:$J$32,DATE($A49,$B49,E49)) &gt;=1),"○",IF(WEEKDAY(DATE($A49,$B49,E49),2)=6,"●","")),"×")</f>
        <v/>
      </c>
      <c r="AO50" s="468" t="str">
        <f>IF(F49&lt;&gt;"",IF(OR(WEEKDAY(DATE($A49,$B49,F49),2)&gt;6,COUNTIF('休日情報(要更新)'!$A$5:$J$32,DATE($A49,$B49,F49)) &gt;=1),"○",IF(WEEKDAY(DATE($A49,$B49,F49),2)=6,"●","")),"×")</f>
        <v/>
      </c>
      <c r="AP50" s="468" t="str">
        <f>IF(G49&lt;&gt;"",IF(OR(WEEKDAY(DATE($A49,$B49,G49),2)&gt;6,COUNTIF('休日情報(要更新)'!$A$5:$J$32,DATE($A49,$B49,G49)) &gt;=1),"○",IF(WEEKDAY(DATE($A49,$B49,G49),2)=6,"●","")),"×")</f>
        <v/>
      </c>
      <c r="AQ50" s="468" t="str">
        <f>IF(H49&lt;&gt;"",IF(OR(WEEKDAY(DATE($A49,$B49,H49),2)&gt;6,COUNTIF('休日情報(要更新)'!$A$5:$J$32,DATE($A49,$B49,H49)) &gt;=1),"○",IF(WEEKDAY(DATE($A49,$B49,H49),2)=6,"●","")),"×")</f>
        <v/>
      </c>
      <c r="AR50" s="468" t="str">
        <f>IF(I49&lt;&gt;"",IF(OR(WEEKDAY(DATE($A49,$B49,I49),2)&gt;6,COUNTIF('休日情報(要更新)'!$A$5:$J$32,DATE($A49,$B49,I49)) &gt;=1),"○",IF(WEEKDAY(DATE($A49,$B49,I49),2)=6,"●","")),"×")</f>
        <v/>
      </c>
      <c r="AS50" s="468" t="str">
        <f>IF(J49&lt;&gt;"",IF(OR(WEEKDAY(DATE($A49,$B49,J49),2)&gt;6,COUNTIF('休日情報(要更新)'!$A$5:$J$32,DATE($A49,$B49,J49)) &gt;=1),"○",IF(WEEKDAY(DATE($A49,$B49,J49),2)=6,"●","")),"×")</f>
        <v>●</v>
      </c>
      <c r="AT50" s="468" t="str">
        <f>IF(K49&lt;&gt;"",IF(OR(WEEKDAY(DATE($A49,$B49,K49),2)&gt;6,COUNTIF('休日情報(要更新)'!$A$5:$J$32,DATE($A49,$B49,K49)) &gt;=1),"○",IF(WEEKDAY(DATE($A49,$B49,K49),2)=6,"●","")),"×")</f>
        <v>○</v>
      </c>
      <c r="AU50" s="468" t="str">
        <f>IF(L49&lt;&gt;"",IF(OR(WEEKDAY(DATE($A49,$B49,L49),2)&gt;6,COUNTIF('休日情報(要更新)'!$A$5:$J$32,DATE($A49,$B49,L49)) &gt;=1),"○",IF(WEEKDAY(DATE($A49,$B49,L49),2)=6,"●","")),"×")</f>
        <v/>
      </c>
      <c r="AV50" s="468" t="str">
        <f>IF(M49&lt;&gt;"",IF(OR(WEEKDAY(DATE($A49,$B49,M49),2)&gt;6,COUNTIF('休日情報(要更新)'!$A$5:$J$32,DATE($A49,$B49,M49)) &gt;=1),"○",IF(WEEKDAY(DATE($A49,$B49,M49),2)=6,"●","")),"×")</f>
        <v/>
      </c>
      <c r="AW50" s="468" t="str">
        <f>IF(N49&lt;&gt;"",IF(OR(WEEKDAY(DATE($A49,$B49,N49),2)&gt;6,COUNTIF('休日情報(要更新)'!$A$5:$J$32,DATE($A49,$B49,N49)) &gt;=1),"○",IF(WEEKDAY(DATE($A49,$B49,N49),2)=6,"●","")),"×")</f>
        <v/>
      </c>
      <c r="AX50" s="468" t="str">
        <f>IF(O49&lt;&gt;"",IF(OR(WEEKDAY(DATE($A49,$B49,O49),2)&gt;6,COUNTIF('休日情報(要更新)'!$A$5:$J$32,DATE($A49,$B49,O49)) &gt;=1),"○",IF(WEEKDAY(DATE($A49,$B49,O49),2)=6,"●","")),"×")</f>
        <v/>
      </c>
      <c r="AY50" s="468" t="str">
        <f>IF(P49&lt;&gt;"",IF(OR(WEEKDAY(DATE($A49,$B49,P49),2)&gt;6,COUNTIF('休日情報(要更新)'!$A$5:$J$32,DATE($A49,$B49,P49)) &gt;=1),"○",IF(WEEKDAY(DATE($A49,$B49,P49),2)=6,"●","")),"×")</f>
        <v/>
      </c>
      <c r="AZ50" s="468" t="str">
        <f>IF(Q49&lt;&gt;"",IF(OR(WEEKDAY(DATE($A49,$B49,Q49),2)&gt;6,COUNTIF('休日情報(要更新)'!$A$5:$J$32,DATE($A49,$B49,Q49)) &gt;=1),"○",IF(WEEKDAY(DATE($A49,$B49,Q49),2)=6,"●","")),"×")</f>
        <v>●</v>
      </c>
      <c r="BA50" s="468" t="str">
        <f>IF(R49&lt;&gt;"",IF(OR(WEEKDAY(DATE($A49,$B49,R49),2)&gt;6,COUNTIF('休日情報(要更新)'!$A$5:$J$32,DATE($A49,$B49,R49)) &gt;=1),"○",IF(WEEKDAY(DATE($A49,$B49,R49),2)=6,"●","")),"×")</f>
        <v>○</v>
      </c>
      <c r="BB50" s="468" t="str">
        <f>IF(S49&lt;&gt;"",IF(OR(WEEKDAY(DATE($A49,$B49,S49),2)&gt;6,COUNTIF('休日情報(要更新)'!$A$5:$J$32,DATE($A49,$B49,S49)) &gt;=1),"○",IF(WEEKDAY(DATE($A49,$B49,S49),2)=6,"●","")),"×")</f>
        <v/>
      </c>
      <c r="BC50" s="468" t="str">
        <f>IF(T49&lt;&gt;"",IF(OR(WEEKDAY(DATE($A49,$B49,T49),2)&gt;6,COUNTIF('休日情報(要更新)'!$A$5:$J$32,DATE($A49,$B49,T49)) &gt;=1),"○",IF(WEEKDAY(DATE($A49,$B49,T49),2)=6,"●","")),"×")</f>
        <v/>
      </c>
      <c r="BD50" s="468" t="str">
        <f>IF(U49&lt;&gt;"",IF(OR(WEEKDAY(DATE($A49,$B49,U49),2)&gt;6,COUNTIF('休日情報(要更新)'!$A$5:$J$32,DATE($A49,$B49,U49)) &gt;=1),"○",IF(WEEKDAY(DATE($A49,$B49,U49),2)=6,"●","")),"×")</f>
        <v/>
      </c>
      <c r="BE50" s="468" t="str">
        <f>IF(V49&lt;&gt;"",IF(OR(WEEKDAY(DATE($A49,$B49,V49),2)&gt;6,COUNTIF('休日情報(要更新)'!$A$5:$J$32,DATE($A49,$B49,V49)) &gt;=1),"○",IF(WEEKDAY(DATE($A49,$B49,V49),2)=6,"●","")),"×")</f>
        <v/>
      </c>
      <c r="BF50" s="468" t="str">
        <f>IF(W49&lt;&gt;"",IF(OR(WEEKDAY(DATE($A49,$B49,W49),2)&gt;6,COUNTIF('休日情報(要更新)'!$A$5:$J$32,DATE($A49,$B49,W49)) &gt;=1),"○",IF(WEEKDAY(DATE($A49,$B49,W49),2)=6,"●","")),"×")</f>
        <v/>
      </c>
      <c r="BG50" s="468" t="str">
        <f>IF(X49&lt;&gt;"",IF(OR(WEEKDAY(DATE($A49,$B49,X49),2)&gt;6,COUNTIF('休日情報(要更新)'!$A$5:$J$32,DATE($A49,$B49,X49)) &gt;=1),"○",IF(WEEKDAY(DATE($A49,$B49,X49),2)=6,"●","")),"×")</f>
        <v>●</v>
      </c>
      <c r="BH50" s="468" t="str">
        <f>IF(Y49&lt;&gt;"",IF(OR(WEEKDAY(DATE($A49,$B49,Y49),2)&gt;6,COUNTIF('休日情報(要更新)'!$A$5:$J$32,DATE($A49,$B49,Y49)) &gt;=1),"○",IF(WEEKDAY(DATE($A49,$B49,Y49),2)=6,"●","")),"×")</f>
        <v>○</v>
      </c>
      <c r="BI50" s="468" t="str">
        <f>IF(Z49&lt;&gt;"",IF(OR(WEEKDAY(DATE($A49,$B49,Z49),2)&gt;6,COUNTIF('休日情報(要更新)'!$A$5:$J$32,DATE($A49,$B49,Z49)) &gt;=1),"○",IF(WEEKDAY(DATE($A49,$B49,Z49),2)=6,"●","")),"×")</f>
        <v/>
      </c>
      <c r="BJ50" s="468" t="str">
        <f>IF(AA49&lt;&gt;"",IF(OR(WEEKDAY(DATE($A49,$B49,AA49),2)&gt;6,COUNTIF('休日情報(要更新)'!$A$5:$J$32,DATE($A49,$B49,AA49)) &gt;=1),"○",IF(WEEKDAY(DATE($A49,$B49,AA49),2)=6,"●","")),"×")</f>
        <v/>
      </c>
      <c r="BK50" s="468" t="str">
        <f>IF(AB49&lt;&gt;"",IF(OR(WEEKDAY(DATE($A49,$B49,AB49),2)&gt;6,COUNTIF('休日情報(要更新)'!$A$5:$J$32,DATE($A49,$B49,AB49)) &gt;=1),"○",IF(WEEKDAY(DATE($A49,$B49,AB49),2)=6,"●","")),"×")</f>
        <v/>
      </c>
      <c r="BL50" s="468" t="str">
        <f>IF(AC49&lt;&gt;"",IF(OR(WEEKDAY(DATE($A49,$B49,AC49),2)&gt;6,COUNTIF('休日情報(要更新)'!$A$5:$J$32,DATE($A49,$B49,AC49)) &gt;=1),"○",IF(WEEKDAY(DATE($A49,$B49,AC49),2)=6,"●","")),"×")</f>
        <v/>
      </c>
      <c r="BM50" s="468" t="str">
        <f>IF(AD49&lt;&gt;"",IF(OR(WEEKDAY(DATE($A49,$B49,AD49),2)&gt;6,COUNTIF('休日情報(要更新)'!$A$5:$J$32,DATE($A49,$B49,AD49)) &gt;=1),"○",IF(WEEKDAY(DATE($A49,$B49,AD49),2)=6,"●","")),"×")</f>
        <v/>
      </c>
      <c r="BN50" s="468" t="str">
        <f>IF(AE49&lt;&gt;"",IF(OR(WEEKDAY(DATE($A49,$B49,AE49),2)&gt;6,COUNTIF('休日情報(要更新)'!$A$5:$J$32,DATE($A49,$B49,AE49)) &gt;=1),"○",IF(WEEKDAY(DATE($A49,$B49,AE49),2)=6,"●","")),"×")</f>
        <v>●</v>
      </c>
      <c r="BO50" s="468" t="str">
        <f>IF(AF49&lt;&gt;"",IF(OR(WEEKDAY(DATE($A49,$B49,AF49),2)&gt;6,COUNTIF('休日情報(要更新)'!$A$5:$J$32,DATE($A49,$B49,AF49)) &gt;=1),"○",IF(WEEKDAY(DATE($A49,$B49,AF49),2)=6,"●","")),"×")</f>
        <v>○</v>
      </c>
      <c r="BP50" s="468" t="str">
        <f>IF(AG49&lt;&gt;"",IF(OR(WEEKDAY(DATE($A49,$B49,AG49),2)&gt;6,COUNTIF('休日情報(要更新)'!$A$5:$J$32,DATE($A49,$B49,AG49)) &gt;=1),"○",IF(WEEKDAY(DATE($A49,$B49,AG49),2)=6,"●","")),"×")</f>
        <v/>
      </c>
      <c r="BQ50" s="468" t="str">
        <f>IF(AH49&lt;&gt;"",IF(OR(WEEKDAY(DATE($A49,$B49,AH49),2)&gt;6,COUNTIF('休日情報(要更新)'!$A$5:$J$32,DATE($A49,$B49,AH49)) &gt;=1),"○",IF(WEEKDAY(DATE($A49,$B49,AH49),2)=6,"●","")),"×")</f>
        <v/>
      </c>
      <c r="BR50" s="468" t="str">
        <f>IF(AI49&lt;&gt;"",IF(OR(WEEKDAY(DATE($A49,$B49,AI49),2)&gt;6,COUNTIF('休日情報(要更新)'!$A$5:$J$32,DATE($A49,$B49,AI49)) &gt;=1),"○",IF(WEEKDAY(DATE($A49,$B49,AI49),2)=6,"●","")),"×")</f>
        <v/>
      </c>
    </row>
    <row r="51" spans="1:70" ht="12" customHeight="1">
      <c r="A51" s="1857"/>
      <c r="B51" s="1859"/>
      <c r="C51" s="1848"/>
      <c r="D51" s="486" t="s">
        <v>557</v>
      </c>
      <c r="E51" s="469"/>
      <c r="F51" s="470"/>
      <c r="G51" s="470"/>
      <c r="H51" s="470"/>
      <c r="I51" s="470"/>
      <c r="J51" s="470"/>
      <c r="K51" s="470"/>
      <c r="L51" s="470"/>
      <c r="M51" s="470"/>
      <c r="N51" s="470"/>
      <c r="O51" s="470"/>
      <c r="P51" s="470"/>
      <c r="Q51" s="470"/>
      <c r="R51" s="470"/>
      <c r="S51" s="470"/>
      <c r="T51" s="470"/>
      <c r="U51" s="470"/>
      <c r="V51" s="470"/>
      <c r="W51" s="470"/>
      <c r="X51" s="470"/>
      <c r="Y51" s="470"/>
      <c r="Z51" s="470"/>
      <c r="AA51" s="470"/>
      <c r="AB51" s="470"/>
      <c r="AC51" s="470"/>
      <c r="AD51" s="470"/>
      <c r="AE51" s="470"/>
      <c r="AF51" s="470"/>
      <c r="AG51" s="470"/>
      <c r="AH51" s="470"/>
      <c r="AI51" s="471"/>
      <c r="AJ51" s="472">
        <f>COUNTIFS(AN50:BR50,"",E51:AI51,"○")</f>
        <v>0</v>
      </c>
      <c r="AK51" s="473"/>
    </row>
    <row r="52" spans="1:70" ht="12.75" customHeight="1">
      <c r="A52" s="1857"/>
      <c r="B52" s="1859"/>
      <c r="C52" s="1849"/>
      <c r="D52" s="832" t="s">
        <v>558</v>
      </c>
      <c r="E52" s="833"/>
      <c r="F52" s="830"/>
      <c r="G52" s="830"/>
      <c r="H52" s="830"/>
      <c r="I52" s="830"/>
      <c r="J52" s="830"/>
      <c r="K52" s="830"/>
      <c r="L52" s="830"/>
      <c r="M52" s="830"/>
      <c r="N52" s="830"/>
      <c r="O52" s="830"/>
      <c r="P52" s="830"/>
      <c r="Q52" s="830"/>
      <c r="R52" s="830"/>
      <c r="S52" s="830"/>
      <c r="T52" s="830"/>
      <c r="U52" s="830"/>
      <c r="V52" s="830"/>
      <c r="W52" s="830"/>
      <c r="X52" s="830"/>
      <c r="Y52" s="830"/>
      <c r="Z52" s="830"/>
      <c r="AA52" s="830"/>
      <c r="AB52" s="830"/>
      <c r="AC52" s="830"/>
      <c r="AD52" s="830"/>
      <c r="AE52" s="830"/>
      <c r="AF52" s="830"/>
      <c r="AG52" s="830"/>
      <c r="AH52" s="830"/>
      <c r="AI52" s="831"/>
      <c r="AJ52" s="834">
        <f>COUNTIFS(E51:AI51,"○",AN50:BR50,"",E52:AI52,"○")</f>
        <v>0</v>
      </c>
    </row>
    <row r="53" spans="1:70" ht="12.75" customHeight="1">
      <c r="A53" s="967"/>
      <c r="B53" s="1860"/>
      <c r="C53" s="1846"/>
      <c r="D53" s="487" t="s">
        <v>943</v>
      </c>
      <c r="E53" s="475"/>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6"/>
      <c r="AG53" s="476"/>
      <c r="AH53" s="476"/>
      <c r="AI53" s="477"/>
      <c r="AJ53" s="478">
        <f>COUNTIFS(E51:AI51,"○",AN50:BR50,"",E52:AI52,"○",E53:AI53,"○")</f>
        <v>0</v>
      </c>
    </row>
    <row r="54" spans="1:70" ht="12" customHeight="1">
      <c r="A54" s="1857">
        <f>IF($AN$7=0,#REF!,$AN$7)+IF(AND($B54&gt;=1,$B54&lt;=3),1,0)</f>
        <v>2026</v>
      </c>
      <c r="B54" s="1858">
        <v>1</v>
      </c>
      <c r="C54" s="1846" t="s">
        <v>947</v>
      </c>
      <c r="D54" s="835" t="s">
        <v>547</v>
      </c>
      <c r="E54" s="836">
        <v>1</v>
      </c>
      <c r="F54" s="837">
        <v>2</v>
      </c>
      <c r="G54" s="837">
        <v>3</v>
      </c>
      <c r="H54" s="837">
        <v>4</v>
      </c>
      <c r="I54" s="837">
        <v>5</v>
      </c>
      <c r="J54" s="837">
        <v>6</v>
      </c>
      <c r="K54" s="837">
        <v>7</v>
      </c>
      <c r="L54" s="837">
        <v>8</v>
      </c>
      <c r="M54" s="837">
        <v>9</v>
      </c>
      <c r="N54" s="837">
        <v>10</v>
      </c>
      <c r="O54" s="837">
        <v>11</v>
      </c>
      <c r="P54" s="837">
        <v>12</v>
      </c>
      <c r="Q54" s="837">
        <v>13</v>
      </c>
      <c r="R54" s="837">
        <v>14</v>
      </c>
      <c r="S54" s="837">
        <v>15</v>
      </c>
      <c r="T54" s="837">
        <v>16</v>
      </c>
      <c r="U54" s="837">
        <v>17</v>
      </c>
      <c r="V54" s="837">
        <v>18</v>
      </c>
      <c r="W54" s="837">
        <v>19</v>
      </c>
      <c r="X54" s="837">
        <v>20</v>
      </c>
      <c r="Y54" s="837">
        <v>21</v>
      </c>
      <c r="Z54" s="837">
        <v>22</v>
      </c>
      <c r="AA54" s="837">
        <v>23</v>
      </c>
      <c r="AB54" s="837">
        <v>24</v>
      </c>
      <c r="AC54" s="837">
        <v>25</v>
      </c>
      <c r="AD54" s="837">
        <v>26</v>
      </c>
      <c r="AE54" s="837">
        <v>27</v>
      </c>
      <c r="AF54" s="837">
        <v>28</v>
      </c>
      <c r="AG54" s="837">
        <f>IF(MONTH(DATE($A54,B54,AF54+1))=B54,AF54+1,"")</f>
        <v>29</v>
      </c>
      <c r="AH54" s="837">
        <f t="shared" ref="AH54" si="25">IF(B54&lt;&gt;2,IF(AG54&lt;&gt;"",AG54+1,""),"")</f>
        <v>30</v>
      </c>
      <c r="AI54" s="838">
        <f t="shared" ref="AI54" si="26">IF(OR(B54=1,B54=3,B54=5,B54=7,B54=8,B54=10,B54=12),AH54+1,"")</f>
        <v>31</v>
      </c>
      <c r="AJ54" s="1855" t="s">
        <v>19</v>
      </c>
      <c r="AK54" s="467"/>
      <c r="AL54" s="1854" t="s">
        <v>382</v>
      </c>
      <c r="AM54" s="1854"/>
      <c r="AN54" s="468">
        <v>1</v>
      </c>
      <c r="AO54" s="468">
        <v>2</v>
      </c>
      <c r="AP54" s="468">
        <v>3</v>
      </c>
      <c r="AQ54" s="468">
        <v>4</v>
      </c>
      <c r="AR54" s="468">
        <v>5</v>
      </c>
      <c r="AS54" s="468">
        <v>6</v>
      </c>
      <c r="AT54" s="468">
        <v>7</v>
      </c>
      <c r="AU54" s="468">
        <v>8</v>
      </c>
      <c r="AV54" s="468">
        <v>9</v>
      </c>
      <c r="AW54" s="468">
        <v>10</v>
      </c>
      <c r="AX54" s="468">
        <v>11</v>
      </c>
      <c r="AY54" s="468">
        <v>12</v>
      </c>
      <c r="AZ54" s="468">
        <v>13</v>
      </c>
      <c r="BA54" s="468">
        <v>14</v>
      </c>
      <c r="BB54" s="468">
        <v>15</v>
      </c>
      <c r="BC54" s="468">
        <v>16</v>
      </c>
      <c r="BD54" s="468">
        <v>17</v>
      </c>
      <c r="BE54" s="468">
        <v>18</v>
      </c>
      <c r="BF54" s="468">
        <v>19</v>
      </c>
      <c r="BG54" s="468">
        <v>20</v>
      </c>
      <c r="BH54" s="468">
        <v>21</v>
      </c>
      <c r="BI54" s="468">
        <v>22</v>
      </c>
      <c r="BJ54" s="468">
        <v>23</v>
      </c>
      <c r="BK54" s="468">
        <v>24</v>
      </c>
      <c r="BL54" s="468">
        <v>25</v>
      </c>
      <c r="BM54" s="468">
        <v>26</v>
      </c>
      <c r="BN54" s="468">
        <v>27</v>
      </c>
      <c r="BO54" s="468">
        <v>28</v>
      </c>
      <c r="BP54" s="468">
        <v>29</v>
      </c>
      <c r="BQ54" s="468">
        <v>30</v>
      </c>
      <c r="BR54" s="468">
        <v>31</v>
      </c>
    </row>
    <row r="55" spans="1:70" ht="12" customHeight="1">
      <c r="A55" s="1857"/>
      <c r="B55" s="1859"/>
      <c r="C55" s="1847"/>
      <c r="D55" s="485" t="s">
        <v>383</v>
      </c>
      <c r="E55" s="978" t="str">
        <f t="shared" ref="E55:AI55" si="27">IF(E54&lt;&gt;"",HLOOKUP(WEEKDAY(DATE($A54,$B54,E54)),$AP$1:$AV$2,2,FALSE),"")</f>
        <v>（木）</v>
      </c>
      <c r="F55" s="980" t="str">
        <f t="shared" si="27"/>
        <v>（金）</v>
      </c>
      <c r="G55" s="980" t="str">
        <f t="shared" si="27"/>
        <v>（土）</v>
      </c>
      <c r="H55" s="980" t="str">
        <f t="shared" si="27"/>
        <v>（日）</v>
      </c>
      <c r="I55" s="980" t="str">
        <f t="shared" si="27"/>
        <v>（月）</v>
      </c>
      <c r="J55" s="980" t="str">
        <f t="shared" si="27"/>
        <v>（火）</v>
      </c>
      <c r="K55" s="980" t="str">
        <f t="shared" si="27"/>
        <v>（水）</v>
      </c>
      <c r="L55" s="980" t="str">
        <f t="shared" si="27"/>
        <v>（木）</v>
      </c>
      <c r="M55" s="980" t="str">
        <f t="shared" si="27"/>
        <v>（金）</v>
      </c>
      <c r="N55" s="980" t="str">
        <f t="shared" si="27"/>
        <v>（土）</v>
      </c>
      <c r="O55" s="980" t="str">
        <f t="shared" si="27"/>
        <v>（日）</v>
      </c>
      <c r="P55" s="980" t="str">
        <f t="shared" si="27"/>
        <v>（月）</v>
      </c>
      <c r="Q55" s="980" t="str">
        <f t="shared" si="27"/>
        <v>（火）</v>
      </c>
      <c r="R55" s="980" t="str">
        <f t="shared" si="27"/>
        <v>（水）</v>
      </c>
      <c r="S55" s="980" t="str">
        <f t="shared" si="27"/>
        <v>（木）</v>
      </c>
      <c r="T55" s="980" t="str">
        <f t="shared" si="27"/>
        <v>（金）</v>
      </c>
      <c r="U55" s="980" t="str">
        <f t="shared" si="27"/>
        <v>（土）</v>
      </c>
      <c r="V55" s="980" t="str">
        <f t="shared" si="27"/>
        <v>（日）</v>
      </c>
      <c r="W55" s="980" t="str">
        <f t="shared" si="27"/>
        <v>（月）</v>
      </c>
      <c r="X55" s="980" t="str">
        <f t="shared" si="27"/>
        <v>（火）</v>
      </c>
      <c r="Y55" s="980" t="str">
        <f t="shared" si="27"/>
        <v>（水）</v>
      </c>
      <c r="Z55" s="980" t="str">
        <f t="shared" si="27"/>
        <v>（木）</v>
      </c>
      <c r="AA55" s="980" t="str">
        <f t="shared" si="27"/>
        <v>（金）</v>
      </c>
      <c r="AB55" s="980" t="str">
        <f t="shared" si="27"/>
        <v>（土）</v>
      </c>
      <c r="AC55" s="980" t="str">
        <f t="shared" si="27"/>
        <v>（日）</v>
      </c>
      <c r="AD55" s="980" t="str">
        <f t="shared" si="27"/>
        <v>（月）</v>
      </c>
      <c r="AE55" s="980" t="str">
        <f t="shared" si="27"/>
        <v>（火）</v>
      </c>
      <c r="AF55" s="980" t="str">
        <f t="shared" si="27"/>
        <v>（水）</v>
      </c>
      <c r="AG55" s="980" t="str">
        <f t="shared" si="27"/>
        <v>（木）</v>
      </c>
      <c r="AH55" s="980" t="str">
        <f t="shared" si="27"/>
        <v>（金）</v>
      </c>
      <c r="AI55" s="979" t="str">
        <f t="shared" si="27"/>
        <v>（土）</v>
      </c>
      <c r="AJ55" s="1856"/>
      <c r="AK55" s="467"/>
      <c r="AL55" s="1854" t="s">
        <v>410</v>
      </c>
      <c r="AM55" s="1854"/>
      <c r="AN55" s="468" t="str">
        <f>IF(E54&lt;&gt;"",IF(OR(WEEKDAY(DATE($A54,$B54,E54),2)&gt;6,COUNTIF('休日情報(要更新)'!$A$5:$J$32,DATE($A54,$B54,E54)) &gt;=1),"○",IF(WEEKDAY(DATE($A54,$B54,E54),2)=6,"●","")),"×")</f>
        <v>○</v>
      </c>
      <c r="AO55" s="468" t="str">
        <f>IF(F54&lt;&gt;"",IF(OR(WEEKDAY(DATE($A54,$B54,F54),2)&gt;6,COUNTIF('休日情報(要更新)'!$A$5:$J$32,DATE($A54,$B54,F54)) &gt;=1),"○",IF(WEEKDAY(DATE($A54,$B54,F54),2)=6,"●","")),"×")</f>
        <v/>
      </c>
      <c r="AP55" s="468" t="str">
        <f>IF(G54&lt;&gt;"",IF(OR(WEEKDAY(DATE($A54,$B54,G54),2)&gt;6,COUNTIF('休日情報(要更新)'!$A$5:$J$32,DATE($A54,$B54,G54)) &gt;=1),"○",IF(WEEKDAY(DATE($A54,$B54,G54),2)=6,"●","")),"×")</f>
        <v>○</v>
      </c>
      <c r="AQ55" s="468" t="str">
        <f>IF(H54&lt;&gt;"",IF(OR(WEEKDAY(DATE($A54,$B54,H54),2)&gt;6,COUNTIF('休日情報(要更新)'!$A$5:$J$32,DATE($A54,$B54,H54)) &gt;=1),"○",IF(WEEKDAY(DATE($A54,$B54,H54),2)=6,"●","")),"×")</f>
        <v>○</v>
      </c>
      <c r="AR55" s="468" t="str">
        <f>IF(I54&lt;&gt;"",IF(OR(WEEKDAY(DATE($A54,$B54,I54),2)&gt;6,COUNTIF('休日情報(要更新)'!$A$5:$J$32,DATE($A54,$B54,I54)) &gt;=1),"○",IF(WEEKDAY(DATE($A54,$B54,I54),2)=6,"●","")),"×")</f>
        <v/>
      </c>
      <c r="AS55" s="468" t="str">
        <f>IF(J54&lt;&gt;"",IF(OR(WEEKDAY(DATE($A54,$B54,J54),2)&gt;6,COUNTIF('休日情報(要更新)'!$A$5:$J$32,DATE($A54,$B54,J54)) &gt;=1),"○",IF(WEEKDAY(DATE($A54,$B54,J54),2)=6,"●","")),"×")</f>
        <v/>
      </c>
      <c r="AT55" s="468" t="str">
        <f>IF(K54&lt;&gt;"",IF(OR(WEEKDAY(DATE($A54,$B54,K54),2)&gt;6,COUNTIF('休日情報(要更新)'!$A$5:$J$32,DATE($A54,$B54,K54)) &gt;=1),"○",IF(WEEKDAY(DATE($A54,$B54,K54),2)=6,"●","")),"×")</f>
        <v/>
      </c>
      <c r="AU55" s="468" t="str">
        <f>IF(L54&lt;&gt;"",IF(OR(WEEKDAY(DATE($A54,$B54,L54),2)&gt;6,COUNTIF('休日情報(要更新)'!$A$5:$J$32,DATE($A54,$B54,L54)) &gt;=1),"○",IF(WEEKDAY(DATE($A54,$B54,L54),2)=6,"●","")),"×")</f>
        <v/>
      </c>
      <c r="AV55" s="468" t="str">
        <f>IF(M54&lt;&gt;"",IF(OR(WEEKDAY(DATE($A54,$B54,M54),2)&gt;6,COUNTIF('休日情報(要更新)'!$A$5:$J$32,DATE($A54,$B54,M54)) &gt;=1),"○",IF(WEEKDAY(DATE($A54,$B54,M54),2)=6,"●","")),"×")</f>
        <v/>
      </c>
      <c r="AW55" s="468" t="str">
        <f>IF(N54&lt;&gt;"",IF(OR(WEEKDAY(DATE($A54,$B54,N54),2)&gt;6,COUNTIF('休日情報(要更新)'!$A$5:$J$32,DATE($A54,$B54,N54)) &gt;=1),"○",IF(WEEKDAY(DATE($A54,$B54,N54),2)=6,"●","")),"×")</f>
        <v>●</v>
      </c>
      <c r="AX55" s="468" t="str">
        <f>IF(O54&lt;&gt;"",IF(OR(WEEKDAY(DATE($A54,$B54,O54),2)&gt;6,COUNTIF('休日情報(要更新)'!$A$5:$J$32,DATE($A54,$B54,O54)) &gt;=1),"○",IF(WEEKDAY(DATE($A54,$B54,O54),2)=6,"●","")),"×")</f>
        <v>○</v>
      </c>
      <c r="AY55" s="468" t="str">
        <f>IF(P54&lt;&gt;"",IF(OR(WEEKDAY(DATE($A54,$B54,P54),2)&gt;6,COUNTIF('休日情報(要更新)'!$A$5:$J$32,DATE($A54,$B54,P54)) &gt;=1),"○",IF(WEEKDAY(DATE($A54,$B54,P54),2)=6,"●","")),"×")</f>
        <v>○</v>
      </c>
      <c r="AZ55" s="468" t="str">
        <f>IF(Q54&lt;&gt;"",IF(OR(WEEKDAY(DATE($A54,$B54,Q54),2)&gt;6,COUNTIF('休日情報(要更新)'!$A$5:$J$32,DATE($A54,$B54,Q54)) &gt;=1),"○",IF(WEEKDAY(DATE($A54,$B54,Q54),2)=6,"●","")),"×")</f>
        <v/>
      </c>
      <c r="BA55" s="468" t="str">
        <f>IF(R54&lt;&gt;"",IF(OR(WEEKDAY(DATE($A54,$B54,R54),2)&gt;6,COUNTIF('休日情報(要更新)'!$A$5:$J$32,DATE($A54,$B54,R54)) &gt;=1),"○",IF(WEEKDAY(DATE($A54,$B54,R54),2)=6,"●","")),"×")</f>
        <v/>
      </c>
      <c r="BB55" s="468" t="str">
        <f>IF(S54&lt;&gt;"",IF(OR(WEEKDAY(DATE($A54,$B54,S54),2)&gt;6,COUNTIF('休日情報(要更新)'!$A$5:$J$32,DATE($A54,$B54,S54)) &gt;=1),"○",IF(WEEKDAY(DATE($A54,$B54,S54),2)=6,"●","")),"×")</f>
        <v/>
      </c>
      <c r="BC55" s="468" t="str">
        <f>IF(T54&lt;&gt;"",IF(OR(WEEKDAY(DATE($A54,$B54,T54),2)&gt;6,COUNTIF('休日情報(要更新)'!$A$5:$J$32,DATE($A54,$B54,T54)) &gt;=1),"○",IF(WEEKDAY(DATE($A54,$B54,T54),2)=6,"●","")),"×")</f>
        <v/>
      </c>
      <c r="BD55" s="468" t="str">
        <f>IF(U54&lt;&gt;"",IF(OR(WEEKDAY(DATE($A54,$B54,U54),2)&gt;6,COUNTIF('休日情報(要更新)'!$A$5:$J$32,DATE($A54,$B54,U54)) &gt;=1),"○",IF(WEEKDAY(DATE($A54,$B54,U54),2)=6,"●","")),"×")</f>
        <v>●</v>
      </c>
      <c r="BE55" s="468" t="str">
        <f>IF(V54&lt;&gt;"",IF(OR(WEEKDAY(DATE($A54,$B54,V54),2)&gt;6,COUNTIF('休日情報(要更新)'!$A$5:$J$32,DATE($A54,$B54,V54)) &gt;=1),"○",IF(WEEKDAY(DATE($A54,$B54,V54),2)=6,"●","")),"×")</f>
        <v>○</v>
      </c>
      <c r="BF55" s="468" t="str">
        <f>IF(W54&lt;&gt;"",IF(OR(WEEKDAY(DATE($A54,$B54,W54),2)&gt;6,COUNTIF('休日情報(要更新)'!$A$5:$J$32,DATE($A54,$B54,W54)) &gt;=1),"○",IF(WEEKDAY(DATE($A54,$B54,W54),2)=6,"●","")),"×")</f>
        <v/>
      </c>
      <c r="BG55" s="468" t="str">
        <f>IF(X54&lt;&gt;"",IF(OR(WEEKDAY(DATE($A54,$B54,X54),2)&gt;6,COUNTIF('休日情報(要更新)'!$A$5:$J$32,DATE($A54,$B54,X54)) &gt;=1),"○",IF(WEEKDAY(DATE($A54,$B54,X54),2)=6,"●","")),"×")</f>
        <v/>
      </c>
      <c r="BH55" s="468" t="str">
        <f>IF(Y54&lt;&gt;"",IF(OR(WEEKDAY(DATE($A54,$B54,Y54),2)&gt;6,COUNTIF('休日情報(要更新)'!$A$5:$J$32,DATE($A54,$B54,Y54)) &gt;=1),"○",IF(WEEKDAY(DATE($A54,$B54,Y54),2)=6,"●","")),"×")</f>
        <v/>
      </c>
      <c r="BI55" s="468" t="str">
        <f>IF(Z54&lt;&gt;"",IF(OR(WEEKDAY(DATE($A54,$B54,Z54),2)&gt;6,COUNTIF('休日情報(要更新)'!$A$5:$J$32,DATE($A54,$B54,Z54)) &gt;=1),"○",IF(WEEKDAY(DATE($A54,$B54,Z54),2)=6,"●","")),"×")</f>
        <v/>
      </c>
      <c r="BJ55" s="468" t="str">
        <f>IF(AA54&lt;&gt;"",IF(OR(WEEKDAY(DATE($A54,$B54,AA54),2)&gt;6,COUNTIF('休日情報(要更新)'!$A$5:$J$32,DATE($A54,$B54,AA54)) &gt;=1),"○",IF(WEEKDAY(DATE($A54,$B54,AA54),2)=6,"●","")),"×")</f>
        <v/>
      </c>
      <c r="BK55" s="468" t="str">
        <f>IF(AB54&lt;&gt;"",IF(OR(WEEKDAY(DATE($A54,$B54,AB54),2)&gt;6,COUNTIF('休日情報(要更新)'!$A$5:$J$32,DATE($A54,$B54,AB54)) &gt;=1),"○",IF(WEEKDAY(DATE($A54,$B54,AB54),2)=6,"●","")),"×")</f>
        <v>●</v>
      </c>
      <c r="BL55" s="468" t="str">
        <f>IF(AC54&lt;&gt;"",IF(OR(WEEKDAY(DATE($A54,$B54,AC54),2)&gt;6,COUNTIF('休日情報(要更新)'!$A$5:$J$32,DATE($A54,$B54,AC54)) &gt;=1),"○",IF(WEEKDAY(DATE($A54,$B54,AC54),2)=6,"●","")),"×")</f>
        <v>○</v>
      </c>
      <c r="BM55" s="468" t="str">
        <f>IF(AD54&lt;&gt;"",IF(OR(WEEKDAY(DATE($A54,$B54,AD54),2)&gt;6,COUNTIF('休日情報(要更新)'!$A$5:$J$32,DATE($A54,$B54,AD54)) &gt;=1),"○",IF(WEEKDAY(DATE($A54,$B54,AD54),2)=6,"●","")),"×")</f>
        <v/>
      </c>
      <c r="BN55" s="468" t="str">
        <f>IF(AE54&lt;&gt;"",IF(OR(WEEKDAY(DATE($A54,$B54,AE54),2)&gt;6,COUNTIF('休日情報(要更新)'!$A$5:$J$32,DATE($A54,$B54,AE54)) &gt;=1),"○",IF(WEEKDAY(DATE($A54,$B54,AE54),2)=6,"●","")),"×")</f>
        <v/>
      </c>
      <c r="BO55" s="468" t="str">
        <f>IF(AF54&lt;&gt;"",IF(OR(WEEKDAY(DATE($A54,$B54,AF54),2)&gt;6,COUNTIF('休日情報(要更新)'!$A$5:$J$32,DATE($A54,$B54,AF54)) &gt;=1),"○",IF(WEEKDAY(DATE($A54,$B54,AF54),2)=6,"●","")),"×")</f>
        <v/>
      </c>
      <c r="BP55" s="468" t="str">
        <f>IF(AG54&lt;&gt;"",IF(OR(WEEKDAY(DATE($A54,$B54,AG54),2)&gt;6,COUNTIF('休日情報(要更新)'!$A$5:$J$32,DATE($A54,$B54,AG54)) &gt;=1),"○",IF(WEEKDAY(DATE($A54,$B54,AG54),2)=6,"●","")),"×")</f>
        <v/>
      </c>
      <c r="BQ55" s="468" t="str">
        <f>IF(AH54&lt;&gt;"",IF(OR(WEEKDAY(DATE($A54,$B54,AH54),2)&gt;6,COUNTIF('休日情報(要更新)'!$A$5:$J$32,DATE($A54,$B54,AH54)) &gt;=1),"○",IF(WEEKDAY(DATE($A54,$B54,AH54),2)=6,"●","")),"×")</f>
        <v/>
      </c>
      <c r="BR55" s="468" t="str">
        <f>IF(AI54&lt;&gt;"",IF(OR(WEEKDAY(DATE($A54,$B54,AI54),2)&gt;6,COUNTIF('休日情報(要更新)'!$A$5:$J$32,DATE($A54,$B54,AI54)) &gt;=1),"○",IF(WEEKDAY(DATE($A54,$B54,AI54),2)=6,"●","")),"×")</f>
        <v>●</v>
      </c>
    </row>
    <row r="56" spans="1:70" ht="12" customHeight="1">
      <c r="A56" s="1857"/>
      <c r="B56" s="1859"/>
      <c r="C56" s="1848"/>
      <c r="D56" s="486" t="s">
        <v>557</v>
      </c>
      <c r="E56" s="469"/>
      <c r="F56" s="470"/>
      <c r="G56" s="470"/>
      <c r="H56" s="470"/>
      <c r="I56" s="470"/>
      <c r="J56" s="470"/>
      <c r="K56" s="470"/>
      <c r="L56" s="470"/>
      <c r="M56" s="470"/>
      <c r="N56" s="470"/>
      <c r="O56" s="470"/>
      <c r="P56" s="470"/>
      <c r="Q56" s="470"/>
      <c r="R56" s="470"/>
      <c r="S56" s="470"/>
      <c r="T56" s="470"/>
      <c r="U56" s="470"/>
      <c r="V56" s="470"/>
      <c r="W56" s="470"/>
      <c r="X56" s="470"/>
      <c r="Y56" s="470"/>
      <c r="Z56" s="470"/>
      <c r="AA56" s="470"/>
      <c r="AB56" s="470"/>
      <c r="AC56" s="470"/>
      <c r="AD56" s="470"/>
      <c r="AE56" s="470"/>
      <c r="AF56" s="470"/>
      <c r="AG56" s="470"/>
      <c r="AH56" s="470"/>
      <c r="AI56" s="471"/>
      <c r="AJ56" s="472">
        <f>COUNTIFS(AN55:BR55,"",E56:AI56,"○")</f>
        <v>0</v>
      </c>
      <c r="AK56" s="473"/>
    </row>
    <row r="57" spans="1:70" ht="12.75" customHeight="1">
      <c r="A57" s="1857"/>
      <c r="B57" s="1859"/>
      <c r="C57" s="1849"/>
      <c r="D57" s="832" t="s">
        <v>558</v>
      </c>
      <c r="E57" s="833"/>
      <c r="F57" s="830"/>
      <c r="G57" s="830"/>
      <c r="H57" s="830"/>
      <c r="I57" s="830"/>
      <c r="J57" s="830"/>
      <c r="K57" s="830"/>
      <c r="L57" s="830"/>
      <c r="M57" s="830"/>
      <c r="N57" s="830"/>
      <c r="O57" s="830"/>
      <c r="P57" s="830"/>
      <c r="Q57" s="830"/>
      <c r="R57" s="830"/>
      <c r="S57" s="830"/>
      <c r="T57" s="830"/>
      <c r="U57" s="830"/>
      <c r="V57" s="830"/>
      <c r="W57" s="830"/>
      <c r="X57" s="830"/>
      <c r="Y57" s="830"/>
      <c r="Z57" s="830"/>
      <c r="AA57" s="830"/>
      <c r="AB57" s="830"/>
      <c r="AC57" s="830"/>
      <c r="AD57" s="830"/>
      <c r="AE57" s="830"/>
      <c r="AF57" s="830"/>
      <c r="AG57" s="830"/>
      <c r="AH57" s="830"/>
      <c r="AI57" s="831"/>
      <c r="AJ57" s="834">
        <f>COUNTIFS(E56:AI56,"○",AN55:BR55,"",E57:AI57,"○")</f>
        <v>0</v>
      </c>
    </row>
    <row r="58" spans="1:70" ht="12.75" customHeight="1">
      <c r="A58" s="967"/>
      <c r="B58" s="1860"/>
      <c r="C58" s="1846"/>
      <c r="D58" s="487" t="s">
        <v>943</v>
      </c>
      <c r="E58" s="475"/>
      <c r="F58" s="476"/>
      <c r="G58" s="476"/>
      <c r="H58" s="476"/>
      <c r="I58" s="476"/>
      <c r="J58" s="476"/>
      <c r="K58" s="476"/>
      <c r="L58" s="476"/>
      <c r="M58" s="476"/>
      <c r="N58" s="476"/>
      <c r="O58" s="476"/>
      <c r="P58" s="476"/>
      <c r="Q58" s="476"/>
      <c r="R58" s="476"/>
      <c r="S58" s="476"/>
      <c r="T58" s="476"/>
      <c r="U58" s="476"/>
      <c r="V58" s="476"/>
      <c r="W58" s="476"/>
      <c r="X58" s="476"/>
      <c r="Y58" s="476"/>
      <c r="Z58" s="476"/>
      <c r="AA58" s="476"/>
      <c r="AB58" s="476"/>
      <c r="AC58" s="476"/>
      <c r="AD58" s="476"/>
      <c r="AE58" s="476"/>
      <c r="AF58" s="476"/>
      <c r="AG58" s="476"/>
      <c r="AH58" s="476"/>
      <c r="AI58" s="477"/>
      <c r="AJ58" s="478">
        <f>COUNTIFS(E56:AI56,"○",AN55:BR55,"",E57:AI57,"○",E58:AI58,"○")</f>
        <v>0</v>
      </c>
    </row>
    <row r="59" spans="1:70" ht="12" customHeight="1">
      <c r="A59" s="1857">
        <f>IF($AN$7=0,#REF!,$AN$7)+IF(AND($B59&gt;=1,$B59&lt;=3),1,0)</f>
        <v>2026</v>
      </c>
      <c r="B59" s="1858">
        <v>2</v>
      </c>
      <c r="C59" s="1846" t="s">
        <v>947</v>
      </c>
      <c r="D59" s="835" t="s">
        <v>547</v>
      </c>
      <c r="E59" s="836">
        <v>1</v>
      </c>
      <c r="F59" s="837">
        <v>2</v>
      </c>
      <c r="G59" s="837">
        <v>3</v>
      </c>
      <c r="H59" s="837">
        <v>4</v>
      </c>
      <c r="I59" s="837">
        <v>5</v>
      </c>
      <c r="J59" s="837">
        <v>6</v>
      </c>
      <c r="K59" s="837">
        <v>7</v>
      </c>
      <c r="L59" s="837">
        <v>8</v>
      </c>
      <c r="M59" s="837">
        <v>9</v>
      </c>
      <c r="N59" s="837">
        <v>10</v>
      </c>
      <c r="O59" s="837">
        <v>11</v>
      </c>
      <c r="P59" s="837">
        <v>12</v>
      </c>
      <c r="Q59" s="837">
        <v>13</v>
      </c>
      <c r="R59" s="837">
        <v>14</v>
      </c>
      <c r="S59" s="837">
        <v>15</v>
      </c>
      <c r="T59" s="837">
        <v>16</v>
      </c>
      <c r="U59" s="837">
        <v>17</v>
      </c>
      <c r="V59" s="837">
        <v>18</v>
      </c>
      <c r="W59" s="837">
        <v>19</v>
      </c>
      <c r="X59" s="837">
        <v>20</v>
      </c>
      <c r="Y59" s="837">
        <v>21</v>
      </c>
      <c r="Z59" s="837">
        <v>22</v>
      </c>
      <c r="AA59" s="837">
        <v>23</v>
      </c>
      <c r="AB59" s="837">
        <v>24</v>
      </c>
      <c r="AC59" s="837">
        <v>25</v>
      </c>
      <c r="AD59" s="837">
        <v>26</v>
      </c>
      <c r="AE59" s="837">
        <v>27</v>
      </c>
      <c r="AF59" s="837">
        <v>28</v>
      </c>
      <c r="AG59" s="837" t="str">
        <f>IF(MONTH(DATE($A59,B59,AF59+1))=B59,AF59+1,"")</f>
        <v/>
      </c>
      <c r="AH59" s="837" t="str">
        <f t="shared" ref="AH59" si="28">IF(B59&lt;&gt;2,IF(AG59&lt;&gt;"",AG59+1,""),"")</f>
        <v/>
      </c>
      <c r="AI59" s="838" t="str">
        <f t="shared" ref="AI59" si="29">IF(OR(B59=1,B59=3,B59=5,B59=7,B59=8,B59=10,B59=12),AH59+1,"")</f>
        <v/>
      </c>
      <c r="AJ59" s="1855" t="s">
        <v>19</v>
      </c>
      <c r="AK59" s="467"/>
      <c r="AL59" s="1854" t="s">
        <v>382</v>
      </c>
      <c r="AM59" s="1854"/>
      <c r="AN59" s="468">
        <v>1</v>
      </c>
      <c r="AO59" s="468">
        <v>2</v>
      </c>
      <c r="AP59" s="468">
        <v>3</v>
      </c>
      <c r="AQ59" s="468">
        <v>4</v>
      </c>
      <c r="AR59" s="468">
        <v>5</v>
      </c>
      <c r="AS59" s="468">
        <v>6</v>
      </c>
      <c r="AT59" s="468">
        <v>7</v>
      </c>
      <c r="AU59" s="468">
        <v>8</v>
      </c>
      <c r="AV59" s="468">
        <v>9</v>
      </c>
      <c r="AW59" s="468">
        <v>10</v>
      </c>
      <c r="AX59" s="468">
        <v>11</v>
      </c>
      <c r="AY59" s="468">
        <v>12</v>
      </c>
      <c r="AZ59" s="468">
        <v>13</v>
      </c>
      <c r="BA59" s="468">
        <v>14</v>
      </c>
      <c r="BB59" s="468">
        <v>15</v>
      </c>
      <c r="BC59" s="468">
        <v>16</v>
      </c>
      <c r="BD59" s="468">
        <v>17</v>
      </c>
      <c r="BE59" s="468">
        <v>18</v>
      </c>
      <c r="BF59" s="468">
        <v>19</v>
      </c>
      <c r="BG59" s="468">
        <v>20</v>
      </c>
      <c r="BH59" s="468">
        <v>21</v>
      </c>
      <c r="BI59" s="468">
        <v>22</v>
      </c>
      <c r="BJ59" s="468">
        <v>23</v>
      </c>
      <c r="BK59" s="468">
        <v>24</v>
      </c>
      <c r="BL59" s="468">
        <v>25</v>
      </c>
      <c r="BM59" s="468">
        <v>26</v>
      </c>
      <c r="BN59" s="468">
        <v>27</v>
      </c>
      <c r="BO59" s="468">
        <v>28</v>
      </c>
      <c r="BP59" s="468">
        <v>29</v>
      </c>
      <c r="BQ59" s="468">
        <v>30</v>
      </c>
      <c r="BR59" s="468">
        <v>31</v>
      </c>
    </row>
    <row r="60" spans="1:70" ht="12" customHeight="1">
      <c r="A60" s="1857"/>
      <c r="B60" s="1859"/>
      <c r="C60" s="1847"/>
      <c r="D60" s="485" t="s">
        <v>383</v>
      </c>
      <c r="E60" s="978" t="str">
        <f t="shared" ref="E60:AI60" si="30">IF(E59&lt;&gt;"",HLOOKUP(WEEKDAY(DATE($A59,$B59,E59)),$AP$1:$AV$2,2,FALSE),"")</f>
        <v>（日）</v>
      </c>
      <c r="F60" s="980" t="str">
        <f t="shared" si="30"/>
        <v>（月）</v>
      </c>
      <c r="G60" s="980" t="str">
        <f t="shared" si="30"/>
        <v>（火）</v>
      </c>
      <c r="H60" s="980" t="str">
        <f t="shared" si="30"/>
        <v>（水）</v>
      </c>
      <c r="I60" s="980" t="str">
        <f t="shared" si="30"/>
        <v>（木）</v>
      </c>
      <c r="J60" s="980" t="str">
        <f t="shared" si="30"/>
        <v>（金）</v>
      </c>
      <c r="K60" s="980" t="str">
        <f t="shared" si="30"/>
        <v>（土）</v>
      </c>
      <c r="L60" s="980" t="str">
        <f t="shared" si="30"/>
        <v>（日）</v>
      </c>
      <c r="M60" s="980" t="str">
        <f t="shared" si="30"/>
        <v>（月）</v>
      </c>
      <c r="N60" s="980" t="str">
        <f t="shared" si="30"/>
        <v>（火）</v>
      </c>
      <c r="O60" s="980" t="str">
        <f t="shared" si="30"/>
        <v>（水）</v>
      </c>
      <c r="P60" s="980" t="str">
        <f t="shared" si="30"/>
        <v>（木）</v>
      </c>
      <c r="Q60" s="980" t="str">
        <f t="shared" si="30"/>
        <v>（金）</v>
      </c>
      <c r="R60" s="980" t="str">
        <f t="shared" si="30"/>
        <v>（土）</v>
      </c>
      <c r="S60" s="980" t="str">
        <f t="shared" si="30"/>
        <v>（日）</v>
      </c>
      <c r="T60" s="980" t="str">
        <f t="shared" si="30"/>
        <v>（月）</v>
      </c>
      <c r="U60" s="980" t="str">
        <f t="shared" si="30"/>
        <v>（火）</v>
      </c>
      <c r="V60" s="980" t="str">
        <f t="shared" si="30"/>
        <v>（水）</v>
      </c>
      <c r="W60" s="980" t="str">
        <f t="shared" si="30"/>
        <v>（木）</v>
      </c>
      <c r="X60" s="980" t="str">
        <f t="shared" si="30"/>
        <v>（金）</v>
      </c>
      <c r="Y60" s="980" t="str">
        <f t="shared" si="30"/>
        <v>（土）</v>
      </c>
      <c r="Z60" s="980" t="str">
        <f t="shared" si="30"/>
        <v>（日）</v>
      </c>
      <c r="AA60" s="980" t="str">
        <f t="shared" si="30"/>
        <v>（月）</v>
      </c>
      <c r="AB60" s="980" t="str">
        <f t="shared" si="30"/>
        <v>（火）</v>
      </c>
      <c r="AC60" s="980" t="str">
        <f t="shared" si="30"/>
        <v>（水）</v>
      </c>
      <c r="AD60" s="980" t="str">
        <f t="shared" si="30"/>
        <v>（木）</v>
      </c>
      <c r="AE60" s="980" t="str">
        <f t="shared" si="30"/>
        <v>（金）</v>
      </c>
      <c r="AF60" s="980" t="str">
        <f t="shared" si="30"/>
        <v>（土）</v>
      </c>
      <c r="AG60" s="980" t="str">
        <f t="shared" si="30"/>
        <v/>
      </c>
      <c r="AH60" s="980" t="str">
        <f t="shared" si="30"/>
        <v/>
      </c>
      <c r="AI60" s="979" t="str">
        <f t="shared" si="30"/>
        <v/>
      </c>
      <c r="AJ60" s="1856"/>
      <c r="AK60" s="467"/>
      <c r="AL60" s="1854" t="s">
        <v>410</v>
      </c>
      <c r="AM60" s="1854"/>
      <c r="AN60" s="468" t="str">
        <f>IF(E59&lt;&gt;"",IF(OR(WEEKDAY(DATE($A59,$B59,E59),2)&gt;6,COUNTIF('休日情報(要更新)'!$A$5:$J$32,DATE($A59,$B59,E59)) &gt;=1),"○",IF(WEEKDAY(DATE($A59,$B59,E59),2)=6,"●","")),"×")</f>
        <v>○</v>
      </c>
      <c r="AO60" s="468" t="str">
        <f>IF(F59&lt;&gt;"",IF(OR(WEEKDAY(DATE($A59,$B59,F59),2)&gt;6,COUNTIF('休日情報(要更新)'!$A$5:$J$32,DATE($A59,$B59,F59)) &gt;=1),"○",IF(WEEKDAY(DATE($A59,$B59,F59),2)=6,"●","")),"×")</f>
        <v/>
      </c>
      <c r="AP60" s="468" t="str">
        <f>IF(G59&lt;&gt;"",IF(OR(WEEKDAY(DATE($A59,$B59,G59),2)&gt;6,COUNTIF('休日情報(要更新)'!$A$5:$J$32,DATE($A59,$B59,G59)) &gt;=1),"○",IF(WEEKDAY(DATE($A59,$B59,G59),2)=6,"●","")),"×")</f>
        <v/>
      </c>
      <c r="AQ60" s="468" t="str">
        <f>IF(H59&lt;&gt;"",IF(OR(WEEKDAY(DATE($A59,$B59,H59),2)&gt;6,COUNTIF('休日情報(要更新)'!$A$5:$J$32,DATE($A59,$B59,H59)) &gt;=1),"○",IF(WEEKDAY(DATE($A59,$B59,H59),2)=6,"●","")),"×")</f>
        <v/>
      </c>
      <c r="AR60" s="468" t="str">
        <f>IF(I59&lt;&gt;"",IF(OR(WEEKDAY(DATE($A59,$B59,I59),2)&gt;6,COUNTIF('休日情報(要更新)'!$A$5:$J$32,DATE($A59,$B59,I59)) &gt;=1),"○",IF(WEEKDAY(DATE($A59,$B59,I59),2)=6,"●","")),"×")</f>
        <v/>
      </c>
      <c r="AS60" s="468" t="str">
        <f>IF(J59&lt;&gt;"",IF(OR(WEEKDAY(DATE($A59,$B59,J59),2)&gt;6,COUNTIF('休日情報(要更新)'!$A$5:$J$32,DATE($A59,$B59,J59)) &gt;=1),"○",IF(WEEKDAY(DATE($A59,$B59,J59),2)=6,"●","")),"×")</f>
        <v/>
      </c>
      <c r="AT60" s="468" t="str">
        <f>IF(K59&lt;&gt;"",IF(OR(WEEKDAY(DATE($A59,$B59,K59),2)&gt;6,COUNTIF('休日情報(要更新)'!$A$5:$J$32,DATE($A59,$B59,K59)) &gt;=1),"○",IF(WEEKDAY(DATE($A59,$B59,K59),2)=6,"●","")),"×")</f>
        <v>●</v>
      </c>
      <c r="AU60" s="468" t="str">
        <f>IF(L59&lt;&gt;"",IF(OR(WEEKDAY(DATE($A59,$B59,L59),2)&gt;6,COUNTIF('休日情報(要更新)'!$A$5:$J$32,DATE($A59,$B59,L59)) &gt;=1),"○",IF(WEEKDAY(DATE($A59,$B59,L59),2)=6,"●","")),"×")</f>
        <v>○</v>
      </c>
      <c r="AV60" s="468" t="str">
        <f>IF(M59&lt;&gt;"",IF(OR(WEEKDAY(DATE($A59,$B59,M59),2)&gt;6,COUNTIF('休日情報(要更新)'!$A$5:$J$32,DATE($A59,$B59,M59)) &gt;=1),"○",IF(WEEKDAY(DATE($A59,$B59,M59),2)=6,"●","")),"×")</f>
        <v/>
      </c>
      <c r="AW60" s="468" t="str">
        <f>IF(N59&lt;&gt;"",IF(OR(WEEKDAY(DATE($A59,$B59,N59),2)&gt;6,COUNTIF('休日情報(要更新)'!$A$5:$J$32,DATE($A59,$B59,N59)) &gt;=1),"○",IF(WEEKDAY(DATE($A59,$B59,N59),2)=6,"●","")),"×")</f>
        <v/>
      </c>
      <c r="AX60" s="468" t="str">
        <f>IF(O59&lt;&gt;"",IF(OR(WEEKDAY(DATE($A59,$B59,O59),2)&gt;6,COUNTIF('休日情報(要更新)'!$A$5:$J$32,DATE($A59,$B59,O59)) &gt;=1),"○",IF(WEEKDAY(DATE($A59,$B59,O59),2)=6,"●","")),"×")</f>
        <v>○</v>
      </c>
      <c r="AY60" s="468" t="str">
        <f>IF(P59&lt;&gt;"",IF(OR(WEEKDAY(DATE($A59,$B59,P59),2)&gt;6,COUNTIF('休日情報(要更新)'!$A$5:$J$32,DATE($A59,$B59,P59)) &gt;=1),"○",IF(WEEKDAY(DATE($A59,$B59,P59),2)=6,"●","")),"×")</f>
        <v/>
      </c>
      <c r="AZ60" s="468" t="str">
        <f>IF(Q59&lt;&gt;"",IF(OR(WEEKDAY(DATE($A59,$B59,Q59),2)&gt;6,COUNTIF('休日情報(要更新)'!$A$5:$J$32,DATE($A59,$B59,Q59)) &gt;=1),"○",IF(WEEKDAY(DATE($A59,$B59,Q59),2)=6,"●","")),"×")</f>
        <v/>
      </c>
      <c r="BA60" s="468" t="str">
        <f>IF(R59&lt;&gt;"",IF(OR(WEEKDAY(DATE($A59,$B59,R59),2)&gt;6,COUNTIF('休日情報(要更新)'!$A$5:$J$32,DATE($A59,$B59,R59)) &gt;=1),"○",IF(WEEKDAY(DATE($A59,$B59,R59),2)=6,"●","")),"×")</f>
        <v>●</v>
      </c>
      <c r="BB60" s="468" t="str">
        <f>IF(S59&lt;&gt;"",IF(OR(WEEKDAY(DATE($A59,$B59,S59),2)&gt;6,COUNTIF('休日情報(要更新)'!$A$5:$J$32,DATE($A59,$B59,S59)) &gt;=1),"○",IF(WEEKDAY(DATE($A59,$B59,S59),2)=6,"●","")),"×")</f>
        <v>○</v>
      </c>
      <c r="BC60" s="468" t="str">
        <f>IF(T59&lt;&gt;"",IF(OR(WEEKDAY(DATE($A59,$B59,T59),2)&gt;6,COUNTIF('休日情報(要更新)'!$A$5:$J$32,DATE($A59,$B59,T59)) &gt;=1),"○",IF(WEEKDAY(DATE($A59,$B59,T59),2)=6,"●","")),"×")</f>
        <v/>
      </c>
      <c r="BD60" s="468" t="str">
        <f>IF(U59&lt;&gt;"",IF(OR(WEEKDAY(DATE($A59,$B59,U59),2)&gt;6,COUNTIF('休日情報(要更新)'!$A$5:$J$32,DATE($A59,$B59,U59)) &gt;=1),"○",IF(WEEKDAY(DATE($A59,$B59,U59),2)=6,"●","")),"×")</f>
        <v/>
      </c>
      <c r="BE60" s="468" t="str">
        <f>IF(V59&lt;&gt;"",IF(OR(WEEKDAY(DATE($A59,$B59,V59),2)&gt;6,COUNTIF('休日情報(要更新)'!$A$5:$J$32,DATE($A59,$B59,V59)) &gt;=1),"○",IF(WEEKDAY(DATE($A59,$B59,V59),2)=6,"●","")),"×")</f>
        <v/>
      </c>
      <c r="BF60" s="468" t="str">
        <f>IF(W59&lt;&gt;"",IF(OR(WEEKDAY(DATE($A59,$B59,W59),2)&gt;6,COUNTIF('休日情報(要更新)'!$A$5:$J$32,DATE($A59,$B59,W59)) &gt;=1),"○",IF(WEEKDAY(DATE($A59,$B59,W59),2)=6,"●","")),"×")</f>
        <v/>
      </c>
      <c r="BG60" s="468" t="str">
        <f>IF(X59&lt;&gt;"",IF(OR(WEEKDAY(DATE($A59,$B59,X59),2)&gt;6,COUNTIF('休日情報(要更新)'!$A$5:$J$32,DATE($A59,$B59,X59)) &gt;=1),"○",IF(WEEKDAY(DATE($A59,$B59,X59),2)=6,"●","")),"×")</f>
        <v/>
      </c>
      <c r="BH60" s="468" t="str">
        <f>IF(Y59&lt;&gt;"",IF(OR(WEEKDAY(DATE($A59,$B59,Y59),2)&gt;6,COUNTIF('休日情報(要更新)'!$A$5:$J$32,DATE($A59,$B59,Y59)) &gt;=1),"○",IF(WEEKDAY(DATE($A59,$B59,Y59),2)=6,"●","")),"×")</f>
        <v>●</v>
      </c>
      <c r="BI60" s="468" t="str">
        <f>IF(Z59&lt;&gt;"",IF(OR(WEEKDAY(DATE($A59,$B59,Z59),2)&gt;6,COUNTIF('休日情報(要更新)'!$A$5:$J$32,DATE($A59,$B59,Z59)) &gt;=1),"○",IF(WEEKDAY(DATE($A59,$B59,Z59),2)=6,"●","")),"×")</f>
        <v>○</v>
      </c>
      <c r="BJ60" s="468" t="str">
        <f>IF(AA59&lt;&gt;"",IF(OR(WEEKDAY(DATE($A59,$B59,AA59),2)&gt;6,COUNTIF('休日情報(要更新)'!$A$5:$J$32,DATE($A59,$B59,AA59)) &gt;=1),"○",IF(WEEKDAY(DATE($A59,$B59,AA59),2)=6,"●","")),"×")</f>
        <v>○</v>
      </c>
      <c r="BK60" s="468" t="str">
        <f>IF(AB59&lt;&gt;"",IF(OR(WEEKDAY(DATE($A59,$B59,AB59),2)&gt;6,COUNTIF('休日情報(要更新)'!$A$5:$J$32,DATE($A59,$B59,AB59)) &gt;=1),"○",IF(WEEKDAY(DATE($A59,$B59,AB59),2)=6,"●","")),"×")</f>
        <v/>
      </c>
      <c r="BL60" s="468" t="str">
        <f>IF(AC59&lt;&gt;"",IF(OR(WEEKDAY(DATE($A59,$B59,AC59),2)&gt;6,COUNTIF('休日情報(要更新)'!$A$5:$J$32,DATE($A59,$B59,AC59)) &gt;=1),"○",IF(WEEKDAY(DATE($A59,$B59,AC59),2)=6,"●","")),"×")</f>
        <v/>
      </c>
      <c r="BM60" s="468" t="str">
        <f>IF(AD59&lt;&gt;"",IF(OR(WEEKDAY(DATE($A59,$B59,AD59),2)&gt;6,COUNTIF('休日情報(要更新)'!$A$5:$J$32,DATE($A59,$B59,AD59)) &gt;=1),"○",IF(WEEKDAY(DATE($A59,$B59,AD59),2)=6,"●","")),"×")</f>
        <v/>
      </c>
      <c r="BN60" s="468" t="str">
        <f>IF(AE59&lt;&gt;"",IF(OR(WEEKDAY(DATE($A59,$B59,AE59),2)&gt;6,COUNTIF('休日情報(要更新)'!$A$5:$J$32,DATE($A59,$B59,AE59)) &gt;=1),"○",IF(WEEKDAY(DATE($A59,$B59,AE59),2)=6,"●","")),"×")</f>
        <v/>
      </c>
      <c r="BO60" s="468" t="str">
        <f>IF(AF59&lt;&gt;"",IF(OR(WEEKDAY(DATE($A59,$B59,AF59),2)&gt;6,COUNTIF('休日情報(要更新)'!$A$5:$J$32,DATE($A59,$B59,AF59)) &gt;=1),"○",IF(WEEKDAY(DATE($A59,$B59,AF59),2)=6,"●","")),"×")</f>
        <v>●</v>
      </c>
      <c r="BP60" s="468" t="str">
        <f>IF(AG59&lt;&gt;"",IF(OR(WEEKDAY(DATE($A59,$B59,AG59),2)&gt;6,COUNTIF('休日情報(要更新)'!$A$5:$J$32,DATE($A59,$B59,AG59)) &gt;=1),"○",IF(WEEKDAY(DATE($A59,$B59,AG59),2)=6,"●","")),"×")</f>
        <v>×</v>
      </c>
      <c r="BQ60" s="468" t="str">
        <f>IF(AH59&lt;&gt;"",IF(OR(WEEKDAY(DATE($A59,$B59,AH59),2)&gt;6,COUNTIF('休日情報(要更新)'!$A$5:$J$32,DATE($A59,$B59,AH59)) &gt;=1),"○",IF(WEEKDAY(DATE($A59,$B59,AH59),2)=6,"●","")),"×")</f>
        <v>×</v>
      </c>
      <c r="BR60" s="468" t="str">
        <f>IF(AI59&lt;&gt;"",IF(OR(WEEKDAY(DATE($A59,$B59,AI59),2)&gt;6,COUNTIF('休日情報(要更新)'!$A$5:$J$32,DATE($A59,$B59,AI59)) &gt;=1),"○",IF(WEEKDAY(DATE($A59,$B59,AI59),2)=6,"●","")),"×")</f>
        <v>×</v>
      </c>
    </row>
    <row r="61" spans="1:70" ht="12" customHeight="1">
      <c r="A61" s="1857"/>
      <c r="B61" s="1859"/>
      <c r="C61" s="1848"/>
      <c r="D61" s="486" t="s">
        <v>557</v>
      </c>
      <c r="E61" s="469"/>
      <c r="F61" s="470"/>
      <c r="G61" s="470"/>
      <c r="H61" s="470"/>
      <c r="I61" s="470"/>
      <c r="J61" s="470"/>
      <c r="K61" s="470"/>
      <c r="L61" s="470"/>
      <c r="M61" s="470"/>
      <c r="N61" s="470"/>
      <c r="O61" s="470"/>
      <c r="P61" s="470"/>
      <c r="Q61" s="470"/>
      <c r="R61" s="470"/>
      <c r="S61" s="470"/>
      <c r="T61" s="470"/>
      <c r="U61" s="470"/>
      <c r="V61" s="470"/>
      <c r="W61" s="470"/>
      <c r="X61" s="470"/>
      <c r="Y61" s="470"/>
      <c r="Z61" s="470"/>
      <c r="AA61" s="470"/>
      <c r="AB61" s="470"/>
      <c r="AC61" s="470"/>
      <c r="AD61" s="470"/>
      <c r="AE61" s="470"/>
      <c r="AF61" s="470"/>
      <c r="AG61" s="470"/>
      <c r="AH61" s="470"/>
      <c r="AI61" s="471"/>
      <c r="AJ61" s="472">
        <f>COUNTIFS(AN60:BR60,"",E61:AI61,"○")</f>
        <v>0</v>
      </c>
      <c r="AK61" s="473"/>
    </row>
    <row r="62" spans="1:70" ht="12.75" customHeight="1">
      <c r="A62" s="1857"/>
      <c r="B62" s="1859"/>
      <c r="C62" s="1849"/>
      <c r="D62" s="832" t="s">
        <v>558</v>
      </c>
      <c r="E62" s="833"/>
      <c r="F62" s="830"/>
      <c r="G62" s="830"/>
      <c r="H62" s="830"/>
      <c r="I62" s="830"/>
      <c r="J62" s="830"/>
      <c r="K62" s="830"/>
      <c r="L62" s="830"/>
      <c r="M62" s="830"/>
      <c r="N62" s="830"/>
      <c r="O62" s="830"/>
      <c r="P62" s="830"/>
      <c r="Q62" s="830"/>
      <c r="R62" s="830"/>
      <c r="S62" s="830"/>
      <c r="T62" s="830"/>
      <c r="U62" s="830"/>
      <c r="V62" s="830"/>
      <c r="W62" s="830"/>
      <c r="X62" s="830"/>
      <c r="Y62" s="830"/>
      <c r="Z62" s="830"/>
      <c r="AA62" s="830"/>
      <c r="AB62" s="830"/>
      <c r="AC62" s="830"/>
      <c r="AD62" s="830"/>
      <c r="AE62" s="830"/>
      <c r="AF62" s="830"/>
      <c r="AG62" s="830"/>
      <c r="AH62" s="830"/>
      <c r="AI62" s="831"/>
      <c r="AJ62" s="834">
        <f>COUNTIFS(E61:AI61,"○",AN60:BR60,"",E62:AI62,"○")</f>
        <v>0</v>
      </c>
    </row>
    <row r="63" spans="1:70" ht="12.75" customHeight="1">
      <c r="A63" s="967"/>
      <c r="B63" s="1860"/>
      <c r="C63" s="1846"/>
      <c r="D63" s="487" t="s">
        <v>943</v>
      </c>
      <c r="E63" s="475"/>
      <c r="F63" s="476"/>
      <c r="G63" s="476"/>
      <c r="H63" s="476"/>
      <c r="I63" s="476"/>
      <c r="J63" s="476"/>
      <c r="K63" s="476"/>
      <c r="L63" s="476"/>
      <c r="M63" s="476"/>
      <c r="N63" s="476"/>
      <c r="O63" s="476"/>
      <c r="P63" s="476"/>
      <c r="Q63" s="476"/>
      <c r="R63" s="476"/>
      <c r="S63" s="476"/>
      <c r="T63" s="476"/>
      <c r="U63" s="476"/>
      <c r="V63" s="476"/>
      <c r="W63" s="476"/>
      <c r="X63" s="476"/>
      <c r="Y63" s="476"/>
      <c r="Z63" s="476"/>
      <c r="AA63" s="476"/>
      <c r="AB63" s="476"/>
      <c r="AC63" s="476"/>
      <c r="AD63" s="476"/>
      <c r="AE63" s="476"/>
      <c r="AF63" s="476"/>
      <c r="AG63" s="476"/>
      <c r="AH63" s="476"/>
      <c r="AI63" s="477"/>
      <c r="AJ63" s="478">
        <f>COUNTIFS(E61:AI61,"○",AN60:BR60,"",E62:AI62,"○",E63:AI63,"○")</f>
        <v>0</v>
      </c>
    </row>
    <row r="64" spans="1:70" ht="12.75" customHeight="1">
      <c r="A64" s="1857">
        <f>IF($AN$7=0,#REF!,$AN$7)+IF(AND($B64&gt;=1,$B64&lt;=3),1,0)</f>
        <v>2026</v>
      </c>
      <c r="B64" s="1858">
        <v>3</v>
      </c>
      <c r="C64" s="1846" t="s">
        <v>947</v>
      </c>
      <c r="D64" s="835" t="s">
        <v>547</v>
      </c>
      <c r="E64" s="836">
        <v>1</v>
      </c>
      <c r="F64" s="837">
        <v>2</v>
      </c>
      <c r="G64" s="837">
        <v>3</v>
      </c>
      <c r="H64" s="837">
        <v>4</v>
      </c>
      <c r="I64" s="837">
        <v>5</v>
      </c>
      <c r="J64" s="837">
        <v>6</v>
      </c>
      <c r="K64" s="837">
        <v>7</v>
      </c>
      <c r="L64" s="837">
        <v>8</v>
      </c>
      <c r="M64" s="837">
        <v>9</v>
      </c>
      <c r="N64" s="837">
        <v>10</v>
      </c>
      <c r="O64" s="837">
        <v>11</v>
      </c>
      <c r="P64" s="837">
        <v>12</v>
      </c>
      <c r="Q64" s="837">
        <v>13</v>
      </c>
      <c r="R64" s="837">
        <v>14</v>
      </c>
      <c r="S64" s="837">
        <v>15</v>
      </c>
      <c r="T64" s="837">
        <v>16</v>
      </c>
      <c r="U64" s="837">
        <v>17</v>
      </c>
      <c r="V64" s="837">
        <v>18</v>
      </c>
      <c r="W64" s="837">
        <v>19</v>
      </c>
      <c r="X64" s="837">
        <v>20</v>
      </c>
      <c r="Y64" s="837">
        <v>21</v>
      </c>
      <c r="Z64" s="837">
        <v>22</v>
      </c>
      <c r="AA64" s="837">
        <v>23</v>
      </c>
      <c r="AB64" s="837">
        <v>24</v>
      </c>
      <c r="AC64" s="837">
        <v>25</v>
      </c>
      <c r="AD64" s="837">
        <v>26</v>
      </c>
      <c r="AE64" s="837">
        <v>27</v>
      </c>
      <c r="AF64" s="837">
        <v>28</v>
      </c>
      <c r="AG64" s="837">
        <f>IF(MONTH(DATE($A64,B64,AF64+1))=B64,AF64+1,"")</f>
        <v>29</v>
      </c>
      <c r="AH64" s="837">
        <f t="shared" ref="AH64" si="31">IF(B64&lt;&gt;2,IF(AG64&lt;&gt;"",AG64+1,""),"")</f>
        <v>30</v>
      </c>
      <c r="AI64" s="838">
        <f t="shared" ref="AI64" si="32">IF(OR(B64=1,B64=3,B64=5,B64=7,B64=8,B64=10,B64=12),AH64+1,"")</f>
        <v>31</v>
      </c>
      <c r="AJ64" s="1855" t="s">
        <v>19</v>
      </c>
      <c r="AK64" s="467"/>
      <c r="AL64" s="1854" t="s">
        <v>382</v>
      </c>
      <c r="AM64" s="1854"/>
      <c r="AN64" s="468">
        <v>1</v>
      </c>
      <c r="AO64" s="468">
        <v>2</v>
      </c>
      <c r="AP64" s="468">
        <v>3</v>
      </c>
      <c r="AQ64" s="468">
        <v>4</v>
      </c>
      <c r="AR64" s="468">
        <v>5</v>
      </c>
      <c r="AS64" s="468">
        <v>6</v>
      </c>
      <c r="AT64" s="468">
        <v>7</v>
      </c>
      <c r="AU64" s="468">
        <v>8</v>
      </c>
      <c r="AV64" s="468">
        <v>9</v>
      </c>
      <c r="AW64" s="468">
        <v>10</v>
      </c>
      <c r="AX64" s="468">
        <v>11</v>
      </c>
      <c r="AY64" s="468">
        <v>12</v>
      </c>
      <c r="AZ64" s="468">
        <v>13</v>
      </c>
      <c r="BA64" s="468">
        <v>14</v>
      </c>
      <c r="BB64" s="468">
        <v>15</v>
      </c>
      <c r="BC64" s="468">
        <v>16</v>
      </c>
      <c r="BD64" s="468">
        <v>17</v>
      </c>
      <c r="BE64" s="468">
        <v>18</v>
      </c>
      <c r="BF64" s="468">
        <v>19</v>
      </c>
      <c r="BG64" s="468">
        <v>20</v>
      </c>
      <c r="BH64" s="468">
        <v>21</v>
      </c>
      <c r="BI64" s="468">
        <v>22</v>
      </c>
      <c r="BJ64" s="468">
        <v>23</v>
      </c>
      <c r="BK64" s="468">
        <v>24</v>
      </c>
      <c r="BL64" s="468">
        <v>25</v>
      </c>
      <c r="BM64" s="468">
        <v>26</v>
      </c>
      <c r="BN64" s="468">
        <v>27</v>
      </c>
      <c r="BO64" s="468">
        <v>28</v>
      </c>
      <c r="BP64" s="468">
        <v>29</v>
      </c>
      <c r="BQ64" s="468">
        <v>30</v>
      </c>
      <c r="BR64" s="468">
        <v>31</v>
      </c>
    </row>
    <row r="65" spans="1:70" ht="12" customHeight="1">
      <c r="A65" s="1857"/>
      <c r="B65" s="1859"/>
      <c r="C65" s="1847"/>
      <c r="D65" s="485" t="s">
        <v>383</v>
      </c>
      <c r="E65" s="978" t="str">
        <f t="shared" ref="E65:AI65" si="33">IF(E64&lt;&gt;"",HLOOKUP(WEEKDAY(DATE($A64,$B64,E64)),$AP$1:$AV$2,2,FALSE),"")</f>
        <v>（日）</v>
      </c>
      <c r="F65" s="980" t="str">
        <f t="shared" si="33"/>
        <v>（月）</v>
      </c>
      <c r="G65" s="980" t="str">
        <f t="shared" si="33"/>
        <v>（火）</v>
      </c>
      <c r="H65" s="980" t="str">
        <f t="shared" si="33"/>
        <v>（水）</v>
      </c>
      <c r="I65" s="980" t="str">
        <f t="shared" si="33"/>
        <v>（木）</v>
      </c>
      <c r="J65" s="980" t="str">
        <f t="shared" si="33"/>
        <v>（金）</v>
      </c>
      <c r="K65" s="980" t="str">
        <f t="shared" si="33"/>
        <v>（土）</v>
      </c>
      <c r="L65" s="980" t="str">
        <f t="shared" si="33"/>
        <v>（日）</v>
      </c>
      <c r="M65" s="980" t="str">
        <f t="shared" si="33"/>
        <v>（月）</v>
      </c>
      <c r="N65" s="980" t="str">
        <f t="shared" si="33"/>
        <v>（火）</v>
      </c>
      <c r="O65" s="980" t="str">
        <f t="shared" si="33"/>
        <v>（水）</v>
      </c>
      <c r="P65" s="980" t="str">
        <f t="shared" si="33"/>
        <v>（木）</v>
      </c>
      <c r="Q65" s="980" t="str">
        <f t="shared" si="33"/>
        <v>（金）</v>
      </c>
      <c r="R65" s="980" t="str">
        <f t="shared" si="33"/>
        <v>（土）</v>
      </c>
      <c r="S65" s="980" t="str">
        <f t="shared" si="33"/>
        <v>（日）</v>
      </c>
      <c r="T65" s="980" t="str">
        <f t="shared" si="33"/>
        <v>（月）</v>
      </c>
      <c r="U65" s="980" t="str">
        <f t="shared" si="33"/>
        <v>（火）</v>
      </c>
      <c r="V65" s="980" t="str">
        <f t="shared" si="33"/>
        <v>（水）</v>
      </c>
      <c r="W65" s="980" t="str">
        <f t="shared" si="33"/>
        <v>（木）</v>
      </c>
      <c r="X65" s="980" t="str">
        <f t="shared" si="33"/>
        <v>（金）</v>
      </c>
      <c r="Y65" s="980" t="str">
        <f t="shared" si="33"/>
        <v>（土）</v>
      </c>
      <c r="Z65" s="980" t="str">
        <f t="shared" si="33"/>
        <v>（日）</v>
      </c>
      <c r="AA65" s="980" t="str">
        <f t="shared" si="33"/>
        <v>（月）</v>
      </c>
      <c r="AB65" s="980" t="str">
        <f t="shared" si="33"/>
        <v>（火）</v>
      </c>
      <c r="AC65" s="980" t="str">
        <f t="shared" si="33"/>
        <v>（水）</v>
      </c>
      <c r="AD65" s="980" t="str">
        <f t="shared" si="33"/>
        <v>（木）</v>
      </c>
      <c r="AE65" s="980" t="str">
        <f t="shared" si="33"/>
        <v>（金）</v>
      </c>
      <c r="AF65" s="980" t="str">
        <f t="shared" si="33"/>
        <v>（土）</v>
      </c>
      <c r="AG65" s="980" t="str">
        <f t="shared" si="33"/>
        <v>（日）</v>
      </c>
      <c r="AH65" s="980" t="str">
        <f t="shared" si="33"/>
        <v>（月）</v>
      </c>
      <c r="AI65" s="979" t="str">
        <f t="shared" si="33"/>
        <v>（火）</v>
      </c>
      <c r="AJ65" s="1856"/>
      <c r="AK65" s="467"/>
      <c r="AL65" s="1854" t="s">
        <v>410</v>
      </c>
      <c r="AM65" s="1854"/>
      <c r="AN65" s="468" t="str">
        <f>IF(E64&lt;&gt;"",IF(OR(WEEKDAY(DATE($A64,$B64,E64),2)&gt;6,COUNTIF('休日情報(要更新)'!$A$5:$J$32,DATE($A64,$B64,E64)) &gt;=1),"○",IF(WEEKDAY(DATE($A64,$B64,E64),2)=6,"●","")),"×")</f>
        <v>○</v>
      </c>
      <c r="AO65" s="468" t="str">
        <f>IF(F64&lt;&gt;"",IF(OR(WEEKDAY(DATE($A64,$B64,F64),2)&gt;6,COUNTIF('休日情報(要更新)'!$A$5:$J$32,DATE($A64,$B64,F64)) &gt;=1),"○",IF(WEEKDAY(DATE($A64,$B64,F64),2)=6,"●","")),"×")</f>
        <v/>
      </c>
      <c r="AP65" s="468" t="str">
        <f>IF(G64&lt;&gt;"",IF(OR(WEEKDAY(DATE($A64,$B64,G64),2)&gt;6,COUNTIF('休日情報(要更新)'!$A$5:$J$32,DATE($A64,$B64,G64)) &gt;=1),"○",IF(WEEKDAY(DATE($A64,$B64,G64),2)=6,"●","")),"×")</f>
        <v/>
      </c>
      <c r="AQ65" s="468" t="str">
        <f>IF(H64&lt;&gt;"",IF(OR(WEEKDAY(DATE($A64,$B64,H64),2)&gt;6,COUNTIF('休日情報(要更新)'!$A$5:$J$32,DATE($A64,$B64,H64)) &gt;=1),"○",IF(WEEKDAY(DATE($A64,$B64,H64),2)=6,"●","")),"×")</f>
        <v/>
      </c>
      <c r="AR65" s="468" t="str">
        <f>IF(I64&lt;&gt;"",IF(OR(WEEKDAY(DATE($A64,$B64,I64),2)&gt;6,COUNTIF('休日情報(要更新)'!$A$5:$J$32,DATE($A64,$B64,I64)) &gt;=1),"○",IF(WEEKDAY(DATE($A64,$B64,I64),2)=6,"●","")),"×")</f>
        <v/>
      </c>
      <c r="AS65" s="468" t="str">
        <f>IF(J64&lt;&gt;"",IF(OR(WEEKDAY(DATE($A64,$B64,J64),2)&gt;6,COUNTIF('休日情報(要更新)'!$A$5:$J$32,DATE($A64,$B64,J64)) &gt;=1),"○",IF(WEEKDAY(DATE($A64,$B64,J64),2)=6,"●","")),"×")</f>
        <v/>
      </c>
      <c r="AT65" s="468" t="str">
        <f>IF(K64&lt;&gt;"",IF(OR(WEEKDAY(DATE($A64,$B64,K64),2)&gt;6,COUNTIF('休日情報(要更新)'!$A$5:$J$32,DATE($A64,$B64,K64)) &gt;=1),"○",IF(WEEKDAY(DATE($A64,$B64,K64),2)=6,"●","")),"×")</f>
        <v>●</v>
      </c>
      <c r="AU65" s="468" t="str">
        <f>IF(L64&lt;&gt;"",IF(OR(WEEKDAY(DATE($A64,$B64,L64),2)&gt;6,COUNTIF('休日情報(要更新)'!$A$5:$J$32,DATE($A64,$B64,L64)) &gt;=1),"○",IF(WEEKDAY(DATE($A64,$B64,L64),2)=6,"●","")),"×")</f>
        <v>○</v>
      </c>
      <c r="AV65" s="468" t="str">
        <f>IF(M64&lt;&gt;"",IF(OR(WEEKDAY(DATE($A64,$B64,M64),2)&gt;6,COUNTIF('休日情報(要更新)'!$A$5:$J$32,DATE($A64,$B64,M64)) &gt;=1),"○",IF(WEEKDAY(DATE($A64,$B64,M64),2)=6,"●","")),"×")</f>
        <v/>
      </c>
      <c r="AW65" s="468" t="str">
        <f>IF(N64&lt;&gt;"",IF(OR(WEEKDAY(DATE($A64,$B64,N64),2)&gt;6,COUNTIF('休日情報(要更新)'!$A$5:$J$32,DATE($A64,$B64,N64)) &gt;=1),"○",IF(WEEKDAY(DATE($A64,$B64,N64),2)=6,"●","")),"×")</f>
        <v/>
      </c>
      <c r="AX65" s="468" t="str">
        <f>IF(O64&lt;&gt;"",IF(OR(WEEKDAY(DATE($A64,$B64,O64),2)&gt;6,COUNTIF('休日情報(要更新)'!$A$5:$J$32,DATE($A64,$B64,O64)) &gt;=1),"○",IF(WEEKDAY(DATE($A64,$B64,O64),2)=6,"●","")),"×")</f>
        <v/>
      </c>
      <c r="AY65" s="468" t="str">
        <f>IF(P64&lt;&gt;"",IF(OR(WEEKDAY(DATE($A64,$B64,P64),2)&gt;6,COUNTIF('休日情報(要更新)'!$A$5:$J$32,DATE($A64,$B64,P64)) &gt;=1),"○",IF(WEEKDAY(DATE($A64,$B64,P64),2)=6,"●","")),"×")</f>
        <v/>
      </c>
      <c r="AZ65" s="468" t="str">
        <f>IF(Q64&lt;&gt;"",IF(OR(WEEKDAY(DATE($A64,$B64,Q64),2)&gt;6,COUNTIF('休日情報(要更新)'!$A$5:$J$32,DATE($A64,$B64,Q64)) &gt;=1),"○",IF(WEEKDAY(DATE($A64,$B64,Q64),2)=6,"●","")),"×")</f>
        <v/>
      </c>
      <c r="BA65" s="468" t="str">
        <f>IF(R64&lt;&gt;"",IF(OR(WEEKDAY(DATE($A64,$B64,R64),2)&gt;6,COUNTIF('休日情報(要更新)'!$A$5:$J$32,DATE($A64,$B64,R64)) &gt;=1),"○",IF(WEEKDAY(DATE($A64,$B64,R64),2)=6,"●","")),"×")</f>
        <v>●</v>
      </c>
      <c r="BB65" s="468" t="str">
        <f>IF(S64&lt;&gt;"",IF(OR(WEEKDAY(DATE($A64,$B64,S64),2)&gt;6,COUNTIF('休日情報(要更新)'!$A$5:$J$32,DATE($A64,$B64,S64)) &gt;=1),"○",IF(WEEKDAY(DATE($A64,$B64,S64),2)=6,"●","")),"×")</f>
        <v>○</v>
      </c>
      <c r="BC65" s="468" t="str">
        <f>IF(T64&lt;&gt;"",IF(OR(WEEKDAY(DATE($A64,$B64,T64),2)&gt;6,COUNTIF('休日情報(要更新)'!$A$5:$J$32,DATE($A64,$B64,T64)) &gt;=1),"○",IF(WEEKDAY(DATE($A64,$B64,T64),2)=6,"●","")),"×")</f>
        <v/>
      </c>
      <c r="BD65" s="468" t="str">
        <f>IF(U64&lt;&gt;"",IF(OR(WEEKDAY(DATE($A64,$B64,U64),2)&gt;6,COUNTIF('休日情報(要更新)'!$A$5:$J$32,DATE($A64,$B64,U64)) &gt;=1),"○",IF(WEEKDAY(DATE($A64,$B64,U64),2)=6,"●","")),"×")</f>
        <v/>
      </c>
      <c r="BE65" s="468" t="str">
        <f>IF(V64&lt;&gt;"",IF(OR(WEEKDAY(DATE($A64,$B64,V64),2)&gt;6,COUNTIF('休日情報(要更新)'!$A$5:$J$32,DATE($A64,$B64,V64)) &gt;=1),"○",IF(WEEKDAY(DATE($A64,$B64,V64),2)=6,"●","")),"×")</f>
        <v/>
      </c>
      <c r="BF65" s="468" t="str">
        <f>IF(W64&lt;&gt;"",IF(OR(WEEKDAY(DATE($A64,$B64,W64),2)&gt;6,COUNTIF('休日情報(要更新)'!$A$5:$J$32,DATE($A64,$B64,W64)) &gt;=1),"○",IF(WEEKDAY(DATE($A64,$B64,W64),2)=6,"●","")),"×")</f>
        <v/>
      </c>
      <c r="BG65" s="468" t="str">
        <f>IF(X64&lt;&gt;"",IF(OR(WEEKDAY(DATE($A64,$B64,X64),2)&gt;6,COUNTIF('休日情報(要更新)'!$A$5:$J$32,DATE($A64,$B64,X64)) &gt;=1),"○",IF(WEEKDAY(DATE($A64,$B64,X64),2)=6,"●","")),"×")</f>
        <v>○</v>
      </c>
      <c r="BH65" s="468" t="str">
        <f>IF(Y64&lt;&gt;"",IF(OR(WEEKDAY(DATE($A64,$B64,Y64),2)&gt;6,COUNTIF('休日情報(要更新)'!$A$5:$J$32,DATE($A64,$B64,Y64)) &gt;=1),"○",IF(WEEKDAY(DATE($A64,$B64,Y64),2)=6,"●","")),"×")</f>
        <v>●</v>
      </c>
      <c r="BI65" s="468" t="str">
        <f>IF(Z64&lt;&gt;"",IF(OR(WEEKDAY(DATE($A64,$B64,Z64),2)&gt;6,COUNTIF('休日情報(要更新)'!$A$5:$J$32,DATE($A64,$B64,Z64)) &gt;=1),"○",IF(WEEKDAY(DATE($A64,$B64,Z64),2)=6,"●","")),"×")</f>
        <v>○</v>
      </c>
      <c r="BJ65" s="468" t="str">
        <f>IF(AA64&lt;&gt;"",IF(OR(WEEKDAY(DATE($A64,$B64,AA64),2)&gt;6,COUNTIF('休日情報(要更新)'!$A$5:$J$32,DATE($A64,$B64,AA64)) &gt;=1),"○",IF(WEEKDAY(DATE($A64,$B64,AA64),2)=6,"●","")),"×")</f>
        <v/>
      </c>
      <c r="BK65" s="468" t="str">
        <f>IF(AB64&lt;&gt;"",IF(OR(WEEKDAY(DATE($A64,$B64,AB64),2)&gt;6,COUNTIF('休日情報(要更新)'!$A$5:$J$32,DATE($A64,$B64,AB64)) &gt;=1),"○",IF(WEEKDAY(DATE($A64,$B64,AB64),2)=6,"●","")),"×")</f>
        <v/>
      </c>
      <c r="BL65" s="468" t="str">
        <f>IF(AC64&lt;&gt;"",IF(OR(WEEKDAY(DATE($A64,$B64,AC64),2)&gt;6,COUNTIF('休日情報(要更新)'!$A$5:$J$32,DATE($A64,$B64,AC64)) &gt;=1),"○",IF(WEEKDAY(DATE($A64,$B64,AC64),2)=6,"●","")),"×")</f>
        <v/>
      </c>
      <c r="BM65" s="468" t="str">
        <f>IF(AD64&lt;&gt;"",IF(OR(WEEKDAY(DATE($A64,$B64,AD64),2)&gt;6,COUNTIF('休日情報(要更新)'!$A$5:$J$32,DATE($A64,$B64,AD64)) &gt;=1),"○",IF(WEEKDAY(DATE($A64,$B64,AD64),2)=6,"●","")),"×")</f>
        <v/>
      </c>
      <c r="BN65" s="468" t="str">
        <f>IF(AE64&lt;&gt;"",IF(OR(WEEKDAY(DATE($A64,$B64,AE64),2)&gt;6,COUNTIF('休日情報(要更新)'!$A$5:$J$32,DATE($A64,$B64,AE64)) &gt;=1),"○",IF(WEEKDAY(DATE($A64,$B64,AE64),2)=6,"●","")),"×")</f>
        <v/>
      </c>
      <c r="BO65" s="468" t="str">
        <f>IF(AF64&lt;&gt;"",IF(OR(WEEKDAY(DATE($A64,$B64,AF64),2)&gt;6,COUNTIF('休日情報(要更新)'!$A$5:$J$32,DATE($A64,$B64,AF64)) &gt;=1),"○",IF(WEEKDAY(DATE($A64,$B64,AF64),2)=6,"●","")),"×")</f>
        <v>●</v>
      </c>
      <c r="BP65" s="468" t="str">
        <f>IF(AG64&lt;&gt;"",IF(OR(WEEKDAY(DATE($A64,$B64,AG64),2)&gt;6,COUNTIF('休日情報(要更新)'!$A$5:$J$32,DATE($A64,$B64,AG64)) &gt;=1),"○",IF(WEEKDAY(DATE($A64,$B64,AG64),2)=6,"●","")),"×")</f>
        <v>○</v>
      </c>
      <c r="BQ65" s="468" t="str">
        <f>IF(AH64&lt;&gt;"",IF(OR(WEEKDAY(DATE($A64,$B64,AH64),2)&gt;6,COUNTIF('休日情報(要更新)'!$A$5:$J$32,DATE($A64,$B64,AH64)) &gt;=1),"○",IF(WEEKDAY(DATE($A64,$B64,AH64),2)=6,"●","")),"×")</f>
        <v/>
      </c>
      <c r="BR65" s="468" t="str">
        <f>IF(AI64&lt;&gt;"",IF(OR(WEEKDAY(DATE($A64,$B64,AI64),2)&gt;6,COUNTIF('休日情報(要更新)'!$A$5:$J$32,DATE($A64,$B64,AI64)) &gt;=1),"○",IF(WEEKDAY(DATE($A64,$B64,AI64),2)=6,"●","")),"×")</f>
        <v/>
      </c>
    </row>
    <row r="66" spans="1:70" ht="12" customHeight="1">
      <c r="A66" s="1857"/>
      <c r="B66" s="1859"/>
      <c r="C66" s="1848"/>
      <c r="D66" s="486" t="s">
        <v>557</v>
      </c>
      <c r="E66" s="469"/>
      <c r="F66" s="470"/>
      <c r="G66" s="470"/>
      <c r="H66" s="470"/>
      <c r="I66" s="470"/>
      <c r="J66" s="470"/>
      <c r="K66" s="470"/>
      <c r="L66" s="470"/>
      <c r="M66" s="470"/>
      <c r="N66" s="470"/>
      <c r="O66" s="470"/>
      <c r="P66" s="470"/>
      <c r="Q66" s="470"/>
      <c r="R66" s="470"/>
      <c r="S66" s="470"/>
      <c r="T66" s="470"/>
      <c r="U66" s="470"/>
      <c r="V66" s="470"/>
      <c r="W66" s="470"/>
      <c r="X66" s="470"/>
      <c r="Y66" s="470"/>
      <c r="Z66" s="470"/>
      <c r="AA66" s="470"/>
      <c r="AB66" s="470"/>
      <c r="AC66" s="470"/>
      <c r="AD66" s="470"/>
      <c r="AE66" s="470"/>
      <c r="AF66" s="470"/>
      <c r="AG66" s="470"/>
      <c r="AH66" s="470"/>
      <c r="AI66" s="471"/>
      <c r="AJ66" s="472">
        <f>COUNTIFS(AN65:BR65,"",E66:AI66,"○")</f>
        <v>0</v>
      </c>
      <c r="AK66" s="473"/>
    </row>
    <row r="67" spans="1:70" ht="12.75" customHeight="1">
      <c r="A67" s="1857"/>
      <c r="B67" s="1859"/>
      <c r="C67" s="1849"/>
      <c r="D67" s="832" t="s">
        <v>558</v>
      </c>
      <c r="E67" s="833"/>
      <c r="F67" s="830"/>
      <c r="G67" s="830"/>
      <c r="H67" s="830"/>
      <c r="I67" s="830"/>
      <c r="J67" s="830"/>
      <c r="K67" s="830"/>
      <c r="L67" s="830"/>
      <c r="M67" s="830"/>
      <c r="N67" s="830"/>
      <c r="O67" s="830"/>
      <c r="P67" s="830"/>
      <c r="Q67" s="830"/>
      <c r="R67" s="830"/>
      <c r="S67" s="830"/>
      <c r="T67" s="830"/>
      <c r="U67" s="830"/>
      <c r="V67" s="830"/>
      <c r="W67" s="830"/>
      <c r="X67" s="830"/>
      <c r="Y67" s="830"/>
      <c r="Z67" s="830"/>
      <c r="AA67" s="830"/>
      <c r="AB67" s="830"/>
      <c r="AC67" s="830"/>
      <c r="AD67" s="830"/>
      <c r="AE67" s="830"/>
      <c r="AF67" s="830"/>
      <c r="AG67" s="830"/>
      <c r="AH67" s="830"/>
      <c r="AI67" s="831"/>
      <c r="AJ67" s="834">
        <f>COUNTIFS(E66:AI66,"○",AN65:BR65,"",E67:AI67,"○")</f>
        <v>0</v>
      </c>
    </row>
    <row r="68" spans="1:70" ht="13.5" customHeight="1" thickBot="1">
      <c r="B68" s="1861"/>
      <c r="C68" s="1853"/>
      <c r="D68" s="488" t="s">
        <v>943</v>
      </c>
      <c r="E68" s="479"/>
      <c r="F68" s="480"/>
      <c r="G68" s="480"/>
      <c r="H68" s="480"/>
      <c r="I68" s="480"/>
      <c r="J68" s="480"/>
      <c r="K68" s="480"/>
      <c r="L68" s="480"/>
      <c r="M68" s="480"/>
      <c r="N68" s="480"/>
      <c r="O68" s="480"/>
      <c r="P68" s="480"/>
      <c r="Q68" s="480"/>
      <c r="R68" s="480"/>
      <c r="S68" s="480"/>
      <c r="T68" s="480"/>
      <c r="U68" s="480"/>
      <c r="V68" s="480"/>
      <c r="W68" s="480"/>
      <c r="X68" s="480"/>
      <c r="Y68" s="480"/>
      <c r="Z68" s="480"/>
      <c r="AA68" s="480"/>
      <c r="AB68" s="480"/>
      <c r="AC68" s="480"/>
      <c r="AD68" s="480"/>
      <c r="AE68" s="480"/>
      <c r="AF68" s="480"/>
      <c r="AG68" s="480"/>
      <c r="AH68" s="480"/>
      <c r="AI68" s="481"/>
      <c r="AJ68" s="482">
        <f>COUNTIFS(E66:AI66,"○",AN65:BR65,"",E67:AI67,"○",E68:AI68,"○")</f>
        <v>0</v>
      </c>
    </row>
    <row r="75" spans="1:70">
      <c r="AY75" s="456"/>
    </row>
  </sheetData>
  <sheetProtection algorithmName="SHA-512" hashValue="Marax+YhELY1BRPO9BiynWGnC+MU0gNOvGbcPni4+DuavLB59CNKuWicYbh7up4YY+ohUSGXMyWo73vuxIvmqw==" saltValue="sf9XIR3f/dJ2uvY50wtHWA==" spinCount="100000" sheet="1" objects="1" scenarios="1"/>
  <mergeCells count="90">
    <mergeCell ref="AF1:AJ1"/>
    <mergeCell ref="AN7:AQ7"/>
    <mergeCell ref="AJ9:AJ10"/>
    <mergeCell ref="A14:A17"/>
    <mergeCell ref="A24:A27"/>
    <mergeCell ref="A19:A22"/>
    <mergeCell ref="AL10:AM10"/>
    <mergeCell ref="AL9:AM9"/>
    <mergeCell ref="B8:E8"/>
    <mergeCell ref="AJ14:AJ15"/>
    <mergeCell ref="G8:I8"/>
    <mergeCell ref="AL14:AM14"/>
    <mergeCell ref="AL15:AM15"/>
    <mergeCell ref="B9:B13"/>
    <mergeCell ref="B19:B23"/>
    <mergeCell ref="B24:B28"/>
    <mergeCell ref="A64:A67"/>
    <mergeCell ref="A9:A12"/>
    <mergeCell ref="B14:B18"/>
    <mergeCell ref="A34:A37"/>
    <mergeCell ref="A39:A42"/>
    <mergeCell ref="B39:B43"/>
    <mergeCell ref="A54:A57"/>
    <mergeCell ref="B54:B58"/>
    <mergeCell ref="A59:A62"/>
    <mergeCell ref="B59:B63"/>
    <mergeCell ref="A49:A52"/>
    <mergeCell ref="B64:B68"/>
    <mergeCell ref="AJ34:AJ35"/>
    <mergeCell ref="AL34:AM34"/>
    <mergeCell ref="AL35:AM35"/>
    <mergeCell ref="B34:B38"/>
    <mergeCell ref="A29:A32"/>
    <mergeCell ref="AJ29:AJ30"/>
    <mergeCell ref="AL29:AM29"/>
    <mergeCell ref="AL30:AM30"/>
    <mergeCell ref="C29:C30"/>
    <mergeCell ref="C31:C33"/>
    <mergeCell ref="C34:C35"/>
    <mergeCell ref="C36:C38"/>
    <mergeCell ref="B29:B33"/>
    <mergeCell ref="AJ19:AJ20"/>
    <mergeCell ref="AL19:AM19"/>
    <mergeCell ref="AL20:AM20"/>
    <mergeCell ref="AL24:AM24"/>
    <mergeCell ref="AL25:AM25"/>
    <mergeCell ref="AJ24:AJ25"/>
    <mergeCell ref="AJ39:AJ40"/>
    <mergeCell ref="AL39:AM39"/>
    <mergeCell ref="AL40:AM40"/>
    <mergeCell ref="C41:C43"/>
    <mergeCell ref="C39:C40"/>
    <mergeCell ref="AJ49:AJ50"/>
    <mergeCell ref="AL49:AM49"/>
    <mergeCell ref="AL50:AM50"/>
    <mergeCell ref="A44:A47"/>
    <mergeCell ref="B44:B48"/>
    <mergeCell ref="B49:B53"/>
    <mergeCell ref="C44:C45"/>
    <mergeCell ref="C46:C48"/>
    <mergeCell ref="C49:C50"/>
    <mergeCell ref="C51:C53"/>
    <mergeCell ref="C64:C65"/>
    <mergeCell ref="C66:C68"/>
    <mergeCell ref="AL65:AM65"/>
    <mergeCell ref="AJ44:AJ45"/>
    <mergeCell ref="AL44:AM44"/>
    <mergeCell ref="AL45:AM45"/>
    <mergeCell ref="AJ54:AJ55"/>
    <mergeCell ref="AL54:AM54"/>
    <mergeCell ref="AL55:AM55"/>
    <mergeCell ref="AJ64:AJ65"/>
    <mergeCell ref="AJ59:AJ60"/>
    <mergeCell ref="AL59:AM59"/>
    <mergeCell ref="AL60:AM60"/>
    <mergeCell ref="AL64:AM64"/>
    <mergeCell ref="C54:C55"/>
    <mergeCell ref="C56:C58"/>
    <mergeCell ref="AL7:AM7"/>
    <mergeCell ref="C9:C10"/>
    <mergeCell ref="C11:C13"/>
    <mergeCell ref="K8:N8"/>
    <mergeCell ref="C14:C15"/>
    <mergeCell ref="C59:C60"/>
    <mergeCell ref="C61:C63"/>
    <mergeCell ref="C16:C18"/>
    <mergeCell ref="C19:C20"/>
    <mergeCell ref="C21:C23"/>
    <mergeCell ref="C24:C25"/>
    <mergeCell ref="C26:C28"/>
  </mergeCells>
  <phoneticPr fontId="1"/>
  <conditionalFormatting sqref="E9:AI9 E14:AI14 E19:AI19 E24:AI24 E29:AI29 E34:AI34 E39:AI39 E44:AI44 E49:AI49 E54:AI54 E59:AI59 E64:AI64">
    <cfRule type="expression" dxfId="50" priority="1">
      <formula>AN10="○"</formula>
    </cfRule>
    <cfRule type="expression" dxfId="49" priority="4">
      <formula>AN10="●"</formula>
    </cfRule>
  </conditionalFormatting>
  <conditionalFormatting sqref="E10:AI10 E15:AI15 E20:AI20 E25:AI25 E30:AI30 E35:AI35 E40:AI40 E45:AI45 E50:AI50 E55:AI55 E60:AI60 E65:AI65">
    <cfRule type="expression" dxfId="48" priority="3">
      <formula>AN10="○"</formula>
    </cfRule>
    <cfRule type="expression" dxfId="47" priority="5">
      <formula>AN10="●"</formula>
    </cfRule>
  </conditionalFormatting>
  <conditionalFormatting sqref="E11:AI11 E16:AI16 E21:AI21 E26:AI26 E31:AI31 E36:AI36 E41:AI41 E46:AI46 E51:AI51 E56:AI56 E61:AI61 E66:AI66">
    <cfRule type="expression" dxfId="46" priority="17">
      <formula>AN10&lt;&gt;""</formula>
    </cfRule>
  </conditionalFormatting>
  <conditionalFormatting sqref="E12:AI12 E17:AI17 E22:AI22 E27:AI27 E32:AI32 E37:AI37 E42:AI42 E47:AI47 E52:AI52 E57:AI57 E62:AI62 E67:AI67">
    <cfRule type="expression" dxfId="45" priority="18">
      <formula>AN10&lt;&gt;""</formula>
    </cfRule>
  </conditionalFormatting>
  <conditionalFormatting sqref="E12:AI13 E17:AI18 E22:AI23 E27:AI28 E32:AI33 E37:AI38 E42:AI43 E47:AI48 E52:AI53 E57:AI58 E62:AI63 E67:AI68">
    <cfRule type="expression" dxfId="44" priority="22">
      <formula>E11&lt;&gt;"○"</formula>
    </cfRule>
  </conditionalFormatting>
  <conditionalFormatting sqref="E13:AI13 E18:AI18 E23:AI23 E28:AI28 E33:AI33 E38:AI38 E43:AI43 E48:AI48 E53:AI53 E58:AI58 E63:AI63 E68:AI68">
    <cfRule type="expression" dxfId="43" priority="19">
      <formula>AN10&lt;&gt;""</formula>
    </cfRule>
  </conditionalFormatting>
  <dataValidations count="3">
    <dataValidation imeMode="halfAlpha" allowBlank="1" showInputMessage="1" showErrorMessage="1" sqref="AJ61:AK61 AJ16:AK16 AJ21:AK21 AJ26:AK26 AJ31:AK31 AJ36:AK36 AJ41:AK41 AJ46:AK46 AJ51:AK51 AJ56:AK56 AJ57:AJ58 AJ11:AK11 AJ12:AJ13 AJ62:AJ63 AJ17:AJ18 AJ22:AJ23 AJ27:AJ28 AJ32:AJ33 AJ37:AJ38 AJ42:AJ43 AJ47:AJ48 AJ52:AJ53 AJ66:AK66 AJ67:AJ68" xr:uid="{00000000-0002-0000-0700-000000000000}"/>
    <dataValidation type="list" imeMode="halfAlpha" showErrorMessage="1" sqref="E11:AI13 E66:AI68 E61:AI63 E56:AI58 E51:AI53 E46:AI48 E41:AI43 E36:AI38 E31:AI33 E26:AI28 E21:AI23 E16:AI18" xr:uid="{00000000-0002-0000-0700-000001000000}">
      <formula1>$AM$2:$AM$3</formula1>
    </dataValidation>
    <dataValidation type="list" allowBlank="1" showInputMessage="1" showErrorMessage="1" sqref="C11:C13 C66:C68 C61:C63 C56:C58 C51:C53 C46:C48 C41:C43 C36:C38 C31:C33 C26:C28 C21:C23 C16:C18" xr:uid="{00000000-0002-0000-0700-000002000000}">
      <formula1>$AN$2:$AN$6</formula1>
    </dataValidation>
  </dataValidations>
  <printOptions horizontalCentered="1"/>
  <pageMargins left="0" right="0" top="0.70866141732283472" bottom="0.59055118110236227" header="0" footer="0"/>
  <pageSetup paperSize="9" scale="64" orientation="landscape" r:id="rId1"/>
  <headerFooter alignWithMargins="0">
    <oddHeader xml:space="preserve">&amp;R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AD83"/>
  <sheetViews>
    <sheetView view="pageBreakPreview" zoomScale="85" zoomScaleNormal="100" zoomScaleSheetLayoutView="85" workbookViewId="0">
      <selection activeCell="D26" sqref="D26:E26"/>
    </sheetView>
  </sheetViews>
  <sheetFormatPr defaultColWidth="9" defaultRowHeight="13.5" outlineLevelCol="1"/>
  <cols>
    <col min="1" max="3" width="7.625" style="195" customWidth="1"/>
    <col min="4" max="16" width="8.625" style="195" customWidth="1"/>
    <col min="17" max="17" width="53" style="195" customWidth="1"/>
    <col min="18" max="29" width="9" style="195" hidden="1" customWidth="1" outlineLevel="1"/>
    <col min="30" max="30" width="9" style="195" collapsed="1"/>
    <col min="31" max="16384" width="9" style="195"/>
  </cols>
  <sheetData>
    <row r="1" spans="1:20" ht="23.1" customHeight="1">
      <c r="A1" s="490" t="s">
        <v>966</v>
      </c>
      <c r="B1" s="194"/>
      <c r="C1" s="194"/>
      <c r="D1" s="194"/>
      <c r="E1" s="194"/>
      <c r="F1" s="194"/>
      <c r="G1" s="194"/>
      <c r="H1" s="194"/>
      <c r="I1" s="194"/>
      <c r="J1" s="194"/>
      <c r="K1" s="194"/>
      <c r="L1" s="1869" t="str">
        <f>$R$2&amp;"別紙6-1"&amp;$R$3</f>
        <v>加-25_4月申-別紙6-1-幼_Ver.4.00</v>
      </c>
      <c r="M1" s="1869"/>
      <c r="N1" s="1869"/>
      <c r="O1" s="1869"/>
      <c r="P1" s="1869"/>
      <c r="R1" s="221" t="s">
        <v>942</v>
      </c>
      <c r="S1" s="196" t="s">
        <v>108</v>
      </c>
      <c r="T1" s="196" t="s">
        <v>556</v>
      </c>
    </row>
    <row r="2" spans="1:20" ht="23.1" customHeight="1">
      <c r="A2" s="194"/>
      <c r="B2" s="194"/>
      <c r="C2" s="194"/>
      <c r="D2" s="194"/>
      <c r="E2" s="194"/>
      <c r="F2" s="194"/>
      <c r="G2" s="194"/>
      <c r="H2" s="194"/>
      <c r="I2" s="194"/>
      <c r="J2" s="194"/>
      <c r="K2" s="194"/>
      <c r="L2" s="1870" t="e">
        <f>DATE(【様式１】総括表・個票!S203,【様式１】総括表・個票!X203,【様式１】総括表・個票!AA203)</f>
        <v>#NUM!</v>
      </c>
      <c r="M2" s="1870"/>
      <c r="N2" s="1870"/>
      <c r="O2" s="1870"/>
      <c r="P2" s="1870"/>
      <c r="R2" s="221" t="str">
        <f>【様式１】総括表・個票!$AJ$2</f>
        <v>加-25_4月申-</v>
      </c>
      <c r="S2" s="90"/>
      <c r="T2" s="196">
        <f>【様式１】総括表・個票!AK2</f>
        <v>2025</v>
      </c>
    </row>
    <row r="3" spans="1:20" ht="23.1" customHeight="1">
      <c r="A3" s="194"/>
      <c r="B3" s="194"/>
      <c r="C3" s="194"/>
      <c r="D3" s="194"/>
      <c r="E3" s="194"/>
      <c r="F3" s="194"/>
      <c r="G3" s="194"/>
      <c r="H3" s="194"/>
      <c r="I3" s="194"/>
      <c r="J3" s="194"/>
      <c r="K3" s="194"/>
      <c r="L3" s="194"/>
      <c r="M3" s="194"/>
      <c r="N3" s="194"/>
      <c r="O3" s="194"/>
      <c r="P3" s="194"/>
      <c r="R3" s="221" t="str">
        <f>【様式１】総括表・個票!$AJ$3</f>
        <v>-幼_Ver.4.00</v>
      </c>
      <c r="S3" s="94">
        <v>4</v>
      </c>
    </row>
    <row r="4" spans="1:20" ht="23.1" customHeight="1">
      <c r="A4" s="194"/>
      <c r="B4" s="194" t="s">
        <v>965</v>
      </c>
      <c r="C4" s="194"/>
      <c r="D4" s="194"/>
      <c r="E4" s="194"/>
      <c r="F4" s="194"/>
      <c r="G4" s="194"/>
      <c r="H4" s="194"/>
      <c r="I4" s="194"/>
      <c r="J4" s="194"/>
      <c r="K4" s="194"/>
      <c r="L4" s="194"/>
      <c r="M4" s="194"/>
      <c r="N4" s="194"/>
      <c r="O4" s="194"/>
      <c r="P4" s="194"/>
      <c r="S4" s="94">
        <v>5</v>
      </c>
    </row>
    <row r="5" spans="1:20" ht="23.1" customHeight="1">
      <c r="A5" s="194"/>
      <c r="B5" s="194"/>
      <c r="C5" s="194"/>
      <c r="D5" s="194"/>
      <c r="E5" s="194"/>
      <c r="F5" s="194"/>
      <c r="G5" s="194"/>
      <c r="H5" s="194"/>
      <c r="I5" s="194"/>
      <c r="J5" s="194"/>
      <c r="K5" s="194"/>
      <c r="L5" s="194"/>
      <c r="M5" s="194"/>
      <c r="N5" s="194"/>
      <c r="O5" s="194"/>
      <c r="P5" s="194"/>
      <c r="S5" s="94">
        <v>6</v>
      </c>
    </row>
    <row r="6" spans="1:20" ht="23.1" customHeight="1">
      <c r="A6" s="194"/>
      <c r="B6" s="194"/>
      <c r="C6" s="194"/>
      <c r="D6" s="194"/>
      <c r="E6" s="194"/>
      <c r="F6" s="194"/>
      <c r="G6" s="194"/>
      <c r="H6" s="194"/>
      <c r="I6" s="1878" t="s">
        <v>575</v>
      </c>
      <c r="J6" s="194" t="s">
        <v>576</v>
      </c>
      <c r="K6" s="1896" t="str">
        <f>CONCATENATE(【様式１】総括表・個票!$S$6)</f>
        <v/>
      </c>
      <c r="L6" s="1896"/>
      <c r="M6" s="1896"/>
      <c r="N6" s="1896"/>
      <c r="O6" s="1896"/>
      <c r="P6" s="194"/>
      <c r="S6" s="94">
        <v>7</v>
      </c>
    </row>
    <row r="7" spans="1:20" ht="23.1" customHeight="1">
      <c r="A7" s="194"/>
      <c r="B7" s="194"/>
      <c r="C7" s="194"/>
      <c r="D7" s="194"/>
      <c r="E7" s="194"/>
      <c r="F7" s="194"/>
      <c r="G7" s="194"/>
      <c r="H7" s="194"/>
      <c r="I7" s="1878"/>
      <c r="J7" s="194" t="s">
        <v>577</v>
      </c>
      <c r="K7" s="1897" t="str">
        <f>CONCATENATE(【様式１】総括表・個票!$S$7)</f>
        <v/>
      </c>
      <c r="L7" s="1897"/>
      <c r="M7" s="1897"/>
      <c r="N7" s="1897"/>
      <c r="O7" s="1897"/>
      <c r="P7" s="194"/>
      <c r="S7" s="94">
        <v>8</v>
      </c>
    </row>
    <row r="8" spans="1:20" ht="23.1" customHeight="1">
      <c r="A8" s="194"/>
      <c r="B8" s="194"/>
      <c r="C8" s="194"/>
      <c r="D8" s="194"/>
      <c r="E8" s="194"/>
      <c r="F8" s="194"/>
      <c r="G8" s="194"/>
      <c r="H8" s="194"/>
      <c r="I8" s="194"/>
      <c r="J8" s="194"/>
      <c r="K8" s="194"/>
      <c r="L8" s="194"/>
      <c r="M8" s="194"/>
      <c r="N8" s="194"/>
      <c r="O8" s="970"/>
      <c r="P8" s="194"/>
      <c r="S8" s="94">
        <v>9</v>
      </c>
    </row>
    <row r="9" spans="1:20" ht="23.1" customHeight="1">
      <c r="A9" s="194"/>
      <c r="B9" s="194"/>
      <c r="C9" s="194"/>
      <c r="D9" s="194"/>
      <c r="E9" s="194"/>
      <c r="F9" s="194"/>
      <c r="G9" s="194"/>
      <c r="H9" s="194"/>
      <c r="I9" s="194"/>
      <c r="J9" s="194"/>
      <c r="K9" s="194"/>
      <c r="L9" s="194"/>
      <c r="M9" s="194"/>
      <c r="N9" s="194"/>
      <c r="O9" s="194"/>
      <c r="P9" s="194"/>
      <c r="S9" s="94">
        <v>10</v>
      </c>
    </row>
    <row r="10" spans="1:20" ht="23.1" customHeight="1">
      <c r="A10" s="194"/>
      <c r="B10" s="194"/>
      <c r="C10" s="194"/>
      <c r="D10" s="1899" t="s">
        <v>579</v>
      </c>
      <c r="E10" s="1899"/>
      <c r="F10" s="1899"/>
      <c r="G10" s="1899"/>
      <c r="H10" s="1899"/>
      <c r="I10" s="1899"/>
      <c r="J10" s="1899"/>
      <c r="K10" s="1899"/>
      <c r="L10" s="1899"/>
      <c r="M10" s="1899"/>
      <c r="N10" s="194"/>
      <c r="O10" s="194"/>
      <c r="P10" s="194"/>
      <c r="S10" s="94">
        <v>11</v>
      </c>
    </row>
    <row r="11" spans="1:20" ht="23.1" customHeight="1">
      <c r="A11" s="194"/>
      <c r="B11" s="194"/>
      <c r="C11" s="194"/>
      <c r="D11" s="194"/>
      <c r="E11" s="194"/>
      <c r="F11" s="194"/>
      <c r="G11" s="194"/>
      <c r="H11" s="194"/>
      <c r="I11" s="194"/>
      <c r="J11" s="194"/>
      <c r="K11" s="194"/>
      <c r="L11" s="194"/>
      <c r="M11" s="194"/>
      <c r="N11" s="194"/>
      <c r="O11" s="194"/>
      <c r="P11" s="194"/>
      <c r="S11" s="94">
        <v>1</v>
      </c>
    </row>
    <row r="12" spans="1:20" ht="23.1" customHeight="1">
      <c r="A12" s="1872" t="str">
        <f>"　教育の提供について、２年度間常に１号認定こどもの利用定員を超えており、かつ、年間平均在所率が120%以上の状態にありましたが、"&amp;【様式１】総括表・個票!$AK$2&amp;"年度についてはこの状態を解消できる見込みであるため、下記のとおり申し出いたします。"</f>
        <v>　教育の提供について、２年度間常に１号認定こどもの利用定員を超えており、かつ、年間平均在所率が120%以上の状態にありましたが、2025年度についてはこの状態を解消できる見込みであるため、下記のとおり申し出いたします。</v>
      </c>
      <c r="B12" s="1872"/>
      <c r="C12" s="1872"/>
      <c r="D12" s="1872"/>
      <c r="E12" s="1872"/>
      <c r="F12" s="1872"/>
      <c r="G12" s="1872"/>
      <c r="H12" s="1872"/>
      <c r="I12" s="1872"/>
      <c r="J12" s="1872"/>
      <c r="K12" s="1872"/>
      <c r="L12" s="1872"/>
      <c r="M12" s="1872"/>
      <c r="N12" s="1872"/>
      <c r="O12" s="1872"/>
      <c r="P12" s="1872"/>
      <c r="S12" s="90">
        <v>2</v>
      </c>
    </row>
    <row r="13" spans="1:20" ht="23.1" customHeight="1">
      <c r="A13" s="1872"/>
      <c r="B13" s="1872"/>
      <c r="C13" s="1872"/>
      <c r="D13" s="1872"/>
      <c r="E13" s="1872"/>
      <c r="F13" s="1872"/>
      <c r="G13" s="1872"/>
      <c r="H13" s="1872"/>
      <c r="I13" s="1872"/>
      <c r="J13" s="1872"/>
      <c r="K13" s="1872"/>
      <c r="L13" s="1872"/>
      <c r="M13" s="1872"/>
      <c r="N13" s="1872"/>
      <c r="O13" s="1872"/>
      <c r="P13" s="1872"/>
      <c r="S13" s="90">
        <v>3</v>
      </c>
    </row>
    <row r="14" spans="1:20" ht="23.1" customHeight="1">
      <c r="A14" s="1872"/>
      <c r="B14" s="1872"/>
      <c r="C14" s="1872"/>
      <c r="D14" s="1872"/>
      <c r="E14" s="1872"/>
      <c r="F14" s="1872"/>
      <c r="G14" s="1872"/>
      <c r="H14" s="1872"/>
      <c r="I14" s="1872"/>
      <c r="J14" s="1872"/>
      <c r="K14" s="1872"/>
      <c r="L14" s="1872"/>
      <c r="M14" s="1872"/>
      <c r="N14" s="1872"/>
      <c r="O14" s="1872"/>
      <c r="P14" s="1872"/>
    </row>
    <row r="15" spans="1:20" ht="23.1" customHeight="1">
      <c r="A15" s="1872"/>
      <c r="B15" s="1872"/>
      <c r="C15" s="1872"/>
      <c r="D15" s="1872"/>
      <c r="E15" s="1872"/>
      <c r="F15" s="1872"/>
      <c r="G15" s="1872"/>
      <c r="H15" s="1872"/>
      <c r="I15" s="1872"/>
      <c r="J15" s="1872"/>
      <c r="K15" s="1872"/>
      <c r="L15" s="1872"/>
      <c r="M15" s="1872"/>
      <c r="N15" s="1872"/>
      <c r="O15" s="1872"/>
      <c r="P15" s="1872"/>
    </row>
    <row r="16" spans="1:20" ht="23.1" customHeight="1">
      <c r="A16" s="1867" t="s">
        <v>796</v>
      </c>
      <c r="B16" s="1867"/>
      <c r="C16" s="1867"/>
      <c r="D16" s="1867"/>
      <c r="E16" s="1867"/>
      <c r="F16" s="1867"/>
      <c r="G16" s="1867"/>
      <c r="H16" s="1867"/>
      <c r="I16" s="1867"/>
      <c r="J16" s="1867"/>
      <c r="K16" s="1867"/>
      <c r="L16" s="1867"/>
      <c r="M16" s="1867"/>
      <c r="N16" s="1867"/>
      <c r="O16" s="1867"/>
      <c r="P16" s="1867"/>
    </row>
    <row r="17" spans="1:29" ht="23.1" customHeight="1">
      <c r="A17" s="194"/>
      <c r="B17" s="194"/>
      <c r="C17" s="194"/>
      <c r="D17" s="194"/>
      <c r="E17" s="194"/>
      <c r="F17" s="194"/>
      <c r="G17" s="194"/>
      <c r="H17" s="194"/>
      <c r="I17" s="194"/>
      <c r="J17" s="194"/>
      <c r="K17" s="194"/>
      <c r="L17" s="194"/>
      <c r="M17" s="194"/>
      <c r="N17" s="194"/>
      <c r="O17" s="194"/>
      <c r="P17" s="194"/>
    </row>
    <row r="18" spans="1:29" ht="23.1" customHeight="1">
      <c r="A18" s="1876" t="s">
        <v>580</v>
      </c>
      <c r="B18" s="1876"/>
      <c r="C18" s="1876"/>
      <c r="D18" s="1876"/>
      <c r="E18" s="1876"/>
      <c r="F18" s="194"/>
      <c r="G18" s="194"/>
      <c r="H18" s="194"/>
      <c r="I18" s="194"/>
      <c r="J18" s="194"/>
      <c r="K18" s="194"/>
      <c r="L18" s="194"/>
      <c r="M18" s="194"/>
      <c r="N18" s="194"/>
      <c r="O18" s="194"/>
      <c r="P18" s="194"/>
    </row>
    <row r="19" spans="1:29" ht="23.1" customHeight="1">
      <c r="A19" s="194"/>
      <c r="B19" s="1875">
        <f>【様式１】総括表・個票!$D$12</f>
        <v>0</v>
      </c>
      <c r="C19" s="1875"/>
      <c r="D19" s="1875"/>
      <c r="E19" s="1875"/>
      <c r="F19" s="1875"/>
      <c r="G19" s="1875"/>
      <c r="H19" s="197"/>
      <c r="I19" s="197"/>
      <c r="J19" s="197"/>
      <c r="K19" s="197"/>
      <c r="L19" s="197"/>
      <c r="M19" s="197"/>
      <c r="N19" s="197"/>
      <c r="O19" s="197"/>
      <c r="P19" s="194"/>
    </row>
    <row r="20" spans="1:29" ht="23.1" customHeight="1">
      <c r="A20" s="194"/>
      <c r="B20" s="194"/>
      <c r="C20" s="194"/>
      <c r="D20" s="194"/>
      <c r="E20" s="194"/>
      <c r="F20" s="194"/>
      <c r="G20" s="194"/>
      <c r="H20" s="194"/>
      <c r="I20" s="194"/>
      <c r="J20" s="194"/>
      <c r="K20" s="194"/>
      <c r="L20" s="194"/>
      <c r="M20" s="194"/>
      <c r="N20" s="194"/>
      <c r="O20" s="194"/>
      <c r="P20" s="194"/>
    </row>
    <row r="21" spans="1:29" ht="23.1" customHeight="1">
      <c r="A21" s="1876" t="s">
        <v>964</v>
      </c>
      <c r="B21" s="1876"/>
      <c r="C21" s="1876"/>
      <c r="D21" s="1876"/>
      <c r="E21" s="1876"/>
      <c r="F21" s="194"/>
      <c r="G21" s="194"/>
      <c r="H21" s="194"/>
      <c r="I21" s="194"/>
      <c r="J21" s="194"/>
      <c r="K21" s="194"/>
      <c r="L21" s="194"/>
      <c r="M21" s="194"/>
      <c r="N21" s="194"/>
      <c r="O21" s="194"/>
      <c r="P21" s="194"/>
    </row>
    <row r="22" spans="1:29" ht="23.1" customHeight="1">
      <c r="A22" s="194"/>
      <c r="B22" s="1877" t="str">
        <f>CONCATENATE(【様式１】総括表・個票!$S$204)</f>
        <v/>
      </c>
      <c r="C22" s="1877"/>
      <c r="D22" s="1877"/>
      <c r="E22" s="1877"/>
      <c r="F22" s="1877"/>
      <c r="G22" s="1877"/>
      <c r="H22" s="198"/>
      <c r="I22" s="198"/>
      <c r="J22" s="198"/>
      <c r="K22" s="198"/>
      <c r="L22" s="198"/>
      <c r="M22" s="198"/>
      <c r="N22" s="198"/>
      <c r="O22" s="198"/>
      <c r="P22" s="194"/>
    </row>
    <row r="23" spans="1:29" ht="23.1" customHeight="1">
      <c r="A23" s="194"/>
      <c r="B23" s="198"/>
      <c r="C23" s="198"/>
      <c r="D23" s="198"/>
      <c r="E23" s="198"/>
      <c r="F23" s="194"/>
      <c r="G23" s="194"/>
      <c r="H23" s="194"/>
      <c r="I23" s="194"/>
      <c r="J23" s="194"/>
      <c r="K23" s="194"/>
      <c r="L23" s="194"/>
      <c r="M23" s="194"/>
      <c r="N23" s="194"/>
      <c r="O23" s="194"/>
      <c r="P23" s="194"/>
      <c r="R23" s="971" t="str">
        <f>IF(B22&lt;&gt;"","○","")</f>
        <v/>
      </c>
    </row>
    <row r="24" spans="1:29" ht="23.1" customHeight="1">
      <c r="A24" s="194"/>
      <c r="B24" s="198" t="s">
        <v>582</v>
      </c>
      <c r="C24" s="198"/>
      <c r="D24" s="198"/>
      <c r="E24" s="198"/>
      <c r="F24" s="194"/>
      <c r="G24" s="194"/>
      <c r="H24" s="194"/>
      <c r="I24" s="194"/>
      <c r="J24" s="194"/>
      <c r="K24" s="194"/>
      <c r="L24" s="194"/>
      <c r="M24" s="194"/>
      <c r="N24" s="194"/>
      <c r="O24" s="194"/>
      <c r="P24" s="194"/>
    </row>
    <row r="25" spans="1:29" ht="23.1" customHeight="1">
      <c r="A25" s="194"/>
      <c r="B25" s="1878" t="str">
        <f>IF($R$23="○","見直し前","定員")</f>
        <v>定員</v>
      </c>
      <c r="C25" s="1878"/>
      <c r="D25" s="1879">
        <f>【様式１】総括表・個票!$D$14</f>
        <v>0</v>
      </c>
      <c r="E25" s="1879"/>
      <c r="F25" s="194" t="s">
        <v>8</v>
      </c>
      <c r="G25" s="194"/>
      <c r="H25" s="194"/>
      <c r="I25" s="194"/>
      <c r="J25" s="194"/>
      <c r="K25" s="194"/>
      <c r="L25" s="194"/>
      <c r="M25" s="194"/>
      <c r="N25" s="194"/>
      <c r="O25" s="194"/>
      <c r="P25" s="194"/>
    </row>
    <row r="26" spans="1:29" ht="23.1" customHeight="1">
      <c r="A26" s="194"/>
      <c r="B26" s="1878" t="str">
        <f>IF($R$23="○","見直し後","")</f>
        <v/>
      </c>
      <c r="C26" s="1878"/>
      <c r="D26" s="1901"/>
      <c r="E26" s="1901"/>
      <c r="F26" s="194" t="str">
        <f>IF($R$23="○","人","")</f>
        <v/>
      </c>
      <c r="G26" s="1878" t="str">
        <f>IF($R$23="○","（見直した月","")</f>
        <v/>
      </c>
      <c r="H26" s="1878"/>
      <c r="I26" s="1878"/>
      <c r="J26" s="1900"/>
      <c r="K26" s="1900"/>
      <c r="L26" s="194" t="str">
        <f>IF($R$23="○","月）","")</f>
        <v/>
      </c>
      <c r="M26" s="194"/>
      <c r="N26" s="194"/>
      <c r="O26" s="194"/>
      <c r="P26" s="194"/>
      <c r="R26" s="196">
        <f>D25</f>
        <v>0</v>
      </c>
    </row>
    <row r="27" spans="1:29" ht="23.1" customHeight="1">
      <c r="A27" s="194"/>
      <c r="B27" s="194"/>
      <c r="C27" s="194"/>
      <c r="D27" s="194"/>
      <c r="E27" s="194"/>
      <c r="F27" s="194"/>
      <c r="G27" s="194"/>
      <c r="H27" s="194"/>
      <c r="I27" s="194"/>
      <c r="J27" s="194"/>
      <c r="K27" s="194"/>
      <c r="L27" s="194"/>
      <c r="M27" s="194"/>
      <c r="N27" s="194"/>
      <c r="O27" s="194"/>
      <c r="P27" s="194"/>
      <c r="R27" s="196">
        <f>IF(D26="",R26,D26)</f>
        <v>0</v>
      </c>
      <c r="S27" s="199">
        <f>IF(OR(J26="",J26=0),12,IF(J26&gt;=4,J26-3,J26+9))</f>
        <v>12</v>
      </c>
    </row>
    <row r="28" spans="1:29" ht="23.1" customHeight="1">
      <c r="A28" s="194"/>
      <c r="B28" s="194" t="s">
        <v>615</v>
      </c>
      <c r="C28" s="194"/>
      <c r="D28" s="194"/>
      <c r="E28" s="194"/>
      <c r="F28" s="194"/>
      <c r="G28" s="194"/>
      <c r="H28" s="194"/>
      <c r="I28" s="194"/>
      <c r="J28" s="194"/>
      <c r="K28" s="194"/>
      <c r="L28" s="194"/>
      <c r="M28" s="194"/>
      <c r="N28" s="194"/>
      <c r="O28" s="194"/>
      <c r="P28" s="194"/>
    </row>
    <row r="29" spans="1:29" ht="23.1" customHeight="1">
      <c r="A29" s="194"/>
      <c r="B29" s="194" t="s">
        <v>968</v>
      </c>
      <c r="C29" s="194"/>
      <c r="D29" s="194"/>
      <c r="E29" s="194"/>
      <c r="F29" s="194"/>
      <c r="G29" s="194"/>
      <c r="H29" s="194"/>
      <c r="I29" s="194"/>
      <c r="J29" s="194"/>
      <c r="K29" s="194"/>
      <c r="L29" s="194"/>
      <c r="M29" s="194"/>
      <c r="N29" s="194"/>
      <c r="O29" s="194"/>
      <c r="P29" s="194"/>
    </row>
    <row r="30" spans="1:29" ht="23.1" customHeight="1" thickBot="1">
      <c r="A30" s="194"/>
      <c r="B30" s="194" t="s">
        <v>963</v>
      </c>
      <c r="C30" s="194"/>
      <c r="D30" s="194"/>
      <c r="E30" s="194"/>
      <c r="F30" s="194"/>
      <c r="G30" s="194"/>
      <c r="H30" s="194"/>
      <c r="I30" s="194"/>
      <c r="J30" s="194"/>
      <c r="K30" s="194"/>
      <c r="L30" s="194"/>
      <c r="M30" s="194"/>
      <c r="N30" s="194"/>
      <c r="O30" s="194"/>
      <c r="P30" s="194"/>
    </row>
    <row r="31" spans="1:29" ht="23.1" customHeight="1">
      <c r="A31" s="194"/>
      <c r="B31" s="1880" t="s">
        <v>586</v>
      </c>
      <c r="C31" s="1880"/>
      <c r="D31" s="366" t="s">
        <v>185</v>
      </c>
      <c r="E31" s="367" t="s">
        <v>71</v>
      </c>
      <c r="F31" s="367" t="s">
        <v>72</v>
      </c>
      <c r="G31" s="367" t="s">
        <v>73</v>
      </c>
      <c r="H31" s="367" t="s">
        <v>74</v>
      </c>
      <c r="I31" s="367" t="s">
        <v>75</v>
      </c>
      <c r="J31" s="367" t="s">
        <v>76</v>
      </c>
      <c r="K31" s="367" t="s">
        <v>77</v>
      </c>
      <c r="L31" s="367" t="s">
        <v>78</v>
      </c>
      <c r="M31" s="367" t="s">
        <v>79</v>
      </c>
      <c r="N31" s="367" t="s">
        <v>80</v>
      </c>
      <c r="O31" s="368" t="s">
        <v>81</v>
      </c>
      <c r="P31" s="200" t="s">
        <v>12</v>
      </c>
      <c r="R31" s="969" t="s">
        <v>185</v>
      </c>
      <c r="S31" s="969" t="s">
        <v>71</v>
      </c>
      <c r="T31" s="969" t="s">
        <v>72</v>
      </c>
      <c r="U31" s="969" t="s">
        <v>73</v>
      </c>
      <c r="V31" s="969" t="s">
        <v>74</v>
      </c>
      <c r="W31" s="969" t="s">
        <v>75</v>
      </c>
      <c r="X31" s="969" t="s">
        <v>76</v>
      </c>
      <c r="Y31" s="969" t="s">
        <v>77</v>
      </c>
      <c r="Z31" s="969" t="s">
        <v>78</v>
      </c>
      <c r="AA31" s="969" t="s">
        <v>79</v>
      </c>
      <c r="AB31" s="969" t="s">
        <v>80</v>
      </c>
      <c r="AC31" s="969" t="s">
        <v>81</v>
      </c>
    </row>
    <row r="32" spans="1:29" ht="23.1" customHeight="1">
      <c r="A32" s="194"/>
      <c r="B32" s="1882" t="s">
        <v>581</v>
      </c>
      <c r="C32" s="1882"/>
      <c r="D32" s="369">
        <f>IF($S$27&gt;R32,$R$26,$R$27)</f>
        <v>0</v>
      </c>
      <c r="E32" s="370">
        <f t="shared" ref="E32:O32" si="0">IF($S$27&gt;S32,$R$26,$R$27)</f>
        <v>0</v>
      </c>
      <c r="F32" s="370">
        <f t="shared" si="0"/>
        <v>0</v>
      </c>
      <c r="G32" s="370">
        <f t="shared" si="0"/>
        <v>0</v>
      </c>
      <c r="H32" s="370">
        <f t="shared" si="0"/>
        <v>0</v>
      </c>
      <c r="I32" s="370">
        <f t="shared" si="0"/>
        <v>0</v>
      </c>
      <c r="J32" s="370">
        <f t="shared" si="0"/>
        <v>0</v>
      </c>
      <c r="K32" s="370">
        <f t="shared" si="0"/>
        <v>0</v>
      </c>
      <c r="L32" s="370">
        <f t="shared" si="0"/>
        <v>0</v>
      </c>
      <c r="M32" s="370">
        <f t="shared" si="0"/>
        <v>0</v>
      </c>
      <c r="N32" s="370">
        <f t="shared" si="0"/>
        <v>0</v>
      </c>
      <c r="O32" s="371">
        <f t="shared" si="0"/>
        <v>0</v>
      </c>
      <c r="P32" s="201">
        <f>SUM(D32:O32)</f>
        <v>0</v>
      </c>
      <c r="R32" s="196">
        <v>1</v>
      </c>
      <c r="S32" s="196">
        <v>2</v>
      </c>
      <c r="T32" s="196">
        <v>3</v>
      </c>
      <c r="U32" s="196">
        <v>4</v>
      </c>
      <c r="V32" s="196">
        <v>5</v>
      </c>
      <c r="W32" s="196">
        <v>6</v>
      </c>
      <c r="X32" s="196">
        <v>7</v>
      </c>
      <c r="Y32" s="196">
        <v>8</v>
      </c>
      <c r="Z32" s="196">
        <v>9</v>
      </c>
      <c r="AA32" s="196">
        <v>10</v>
      </c>
      <c r="AB32" s="196">
        <v>11</v>
      </c>
      <c r="AC32" s="196">
        <v>12</v>
      </c>
    </row>
    <row r="33" spans="1:29" ht="23.1" customHeight="1">
      <c r="A33" s="194"/>
      <c r="B33" s="1883" t="s">
        <v>583</v>
      </c>
      <c r="C33" s="1883"/>
      <c r="D33" s="372"/>
      <c r="E33" s="373"/>
      <c r="F33" s="373"/>
      <c r="G33" s="373"/>
      <c r="H33" s="373"/>
      <c r="I33" s="373"/>
      <c r="J33" s="373"/>
      <c r="K33" s="373"/>
      <c r="L33" s="373"/>
      <c r="M33" s="373"/>
      <c r="N33" s="373"/>
      <c r="O33" s="374"/>
      <c r="P33" s="202">
        <f>SUM(D33:O33)</f>
        <v>0</v>
      </c>
      <c r="R33" s="196" t="e">
        <f t="shared" ref="R33:AA33" si="1">ROUNDDOWN(SUM(D33:F33)/SUM(D32:F32),2)</f>
        <v>#DIV/0!</v>
      </c>
      <c r="S33" s="196" t="e">
        <f t="shared" si="1"/>
        <v>#DIV/0!</v>
      </c>
      <c r="T33" s="196" t="e">
        <f t="shared" si="1"/>
        <v>#DIV/0!</v>
      </c>
      <c r="U33" s="196" t="e">
        <f t="shared" si="1"/>
        <v>#DIV/0!</v>
      </c>
      <c r="V33" s="196" t="e">
        <f t="shared" si="1"/>
        <v>#DIV/0!</v>
      </c>
      <c r="W33" s="196" t="e">
        <f t="shared" si="1"/>
        <v>#DIV/0!</v>
      </c>
      <c r="X33" s="196" t="e">
        <f t="shared" si="1"/>
        <v>#DIV/0!</v>
      </c>
      <c r="Y33" s="196" t="e">
        <f t="shared" si="1"/>
        <v>#DIV/0!</v>
      </c>
      <c r="Z33" s="196" t="e">
        <f t="shared" si="1"/>
        <v>#DIV/0!</v>
      </c>
      <c r="AA33" s="196" t="e">
        <f t="shared" si="1"/>
        <v>#DIV/0!</v>
      </c>
      <c r="AB33" s="196" t="e">
        <f>ROUNDDOWN(SUM(N33:O33)/SUM(N32:O32),2)</f>
        <v>#DIV/0!</v>
      </c>
      <c r="AC33" s="196" t="e">
        <f>ROUNDDOWN(SUM(O33:O33)/SUM(O32:O32),2)</f>
        <v>#DIV/0!</v>
      </c>
    </row>
    <row r="34" spans="1:29" ht="23.1" customHeight="1" thickBot="1">
      <c r="A34" s="194"/>
      <c r="B34" s="1883" t="s">
        <v>584</v>
      </c>
      <c r="C34" s="1883"/>
      <c r="D34" s="375" t="str">
        <f>IF(D33="","未入力",IF(D33&gt;D32,"○","×"))</f>
        <v>未入力</v>
      </c>
      <c r="E34" s="376" t="str">
        <f t="shared" ref="E34:O34" si="2">IF(E33="","未入力",IF(E33&gt;E32,"○","×"))</f>
        <v>未入力</v>
      </c>
      <c r="F34" s="377" t="str">
        <f t="shared" si="2"/>
        <v>未入力</v>
      </c>
      <c r="G34" s="377" t="str">
        <f t="shared" si="2"/>
        <v>未入力</v>
      </c>
      <c r="H34" s="377" t="str">
        <f t="shared" si="2"/>
        <v>未入力</v>
      </c>
      <c r="I34" s="377" t="str">
        <f t="shared" si="2"/>
        <v>未入力</v>
      </c>
      <c r="J34" s="377" t="str">
        <f t="shared" si="2"/>
        <v>未入力</v>
      </c>
      <c r="K34" s="377" t="str">
        <f t="shared" si="2"/>
        <v>未入力</v>
      </c>
      <c r="L34" s="377" t="str">
        <f t="shared" si="2"/>
        <v>未入力</v>
      </c>
      <c r="M34" s="377" t="str">
        <f t="shared" si="2"/>
        <v>未入力</v>
      </c>
      <c r="N34" s="377" t="str">
        <f t="shared" si="2"/>
        <v>未入力</v>
      </c>
      <c r="O34" s="378" t="str">
        <f t="shared" si="2"/>
        <v>未入力</v>
      </c>
      <c r="P34" s="203" t="e">
        <f>SUM(R35:AC35)</f>
        <v>#DIV/0!</v>
      </c>
      <c r="R34" s="1868" t="s">
        <v>120</v>
      </c>
      <c r="S34" s="1868"/>
      <c r="T34" s="1868"/>
      <c r="U34" s="1868"/>
      <c r="V34" s="1868"/>
      <c r="W34" s="1868"/>
      <c r="X34" s="1868"/>
      <c r="Y34" s="1868"/>
      <c r="Z34" s="1868"/>
      <c r="AA34" s="1868"/>
      <c r="AB34" s="1868"/>
      <c r="AC34" s="1868"/>
    </row>
    <row r="35" spans="1:29" ht="23.1" customHeight="1">
      <c r="A35" s="194"/>
      <c r="B35" s="1890" t="s">
        <v>585</v>
      </c>
      <c r="C35" s="1890"/>
      <c r="D35" s="1892" t="e">
        <f>ROUNDDOWN(P33/P32,2)</f>
        <v>#DIV/0!</v>
      </c>
      <c r="E35" s="1892"/>
      <c r="F35" s="1894" t="e">
        <f>IF(D35&gt;=1.2,"➡不適切な申出です","")</f>
        <v>#DIV/0!</v>
      </c>
      <c r="G35" s="1894"/>
      <c r="H35" s="1894"/>
      <c r="I35" s="1894"/>
      <c r="J35" s="1888" t="str">
        <f>J26&amp;"月から"&amp;IF(J26=2,2,IF(J26=3,1,3))&amp;"か月間の平均在所率"</f>
        <v>月から3か月間の平均在所率</v>
      </c>
      <c r="K35" s="1888"/>
      <c r="L35" s="1892" t="e">
        <f>IFERROR(HLOOKUP($S$27,$R$32:$AC$33,2,FALSE),R33)</f>
        <v>#DIV/0!</v>
      </c>
      <c r="M35" s="1892"/>
      <c r="N35" s="1887" t="e">
        <f>IF(AND(T2&gt;=2022,L35&gt;=1.15),"➡不適切な申出です","")</f>
        <v>#DIV/0!</v>
      </c>
      <c r="O35" s="1887"/>
      <c r="P35" s="1887"/>
      <c r="R35" s="971" t="e">
        <f>IF($D$35&gt;=1.2,IF(COUNTIF($D34:D34,"○")=R32,1,0),0)</f>
        <v>#DIV/0!</v>
      </c>
      <c r="S35" s="971" t="e">
        <f>IF($D$35&gt;=1.2,IF(COUNTIF($D34:E34,"○")=S32,1,0),0)</f>
        <v>#DIV/0!</v>
      </c>
      <c r="T35" s="971" t="e">
        <f>IF($D$35&gt;=1.2,IF(COUNTIF($D34:F34,"○")=T32,1,0),0)</f>
        <v>#DIV/0!</v>
      </c>
      <c r="U35" s="971" t="e">
        <f>IF($D$35&gt;=1.2,IF(COUNTIF($D34:G34,"○")=U32,1,0),0)</f>
        <v>#DIV/0!</v>
      </c>
      <c r="V35" s="971" t="e">
        <f>IF($D$35&gt;=1.2,IF(COUNTIF($D34:H34,"○")=V32,1,0),0)</f>
        <v>#DIV/0!</v>
      </c>
      <c r="W35" s="971" t="e">
        <f>IF($D$35&gt;=1.2,IF(COUNTIF($D34:I34,"○")=W32,1,0),0)</f>
        <v>#DIV/0!</v>
      </c>
      <c r="X35" s="971" t="e">
        <f>IF($D$35&gt;=1.2,IF(COUNTIF($D34:J34,"○")=X32,1,0),0)</f>
        <v>#DIV/0!</v>
      </c>
      <c r="Y35" s="971" t="e">
        <f>IF($D$35&gt;=1.2,IF(COUNTIF($D34:K34,"○")=Y32,1,0),0)</f>
        <v>#DIV/0!</v>
      </c>
      <c r="Z35" s="971" t="e">
        <f>IF($D$35&gt;=1.2,IF(COUNTIF($D34:L34,"○")=Z32,1,0),0)</f>
        <v>#DIV/0!</v>
      </c>
      <c r="AA35" s="971" t="e">
        <f>IF($D$35&gt;=1.2,IF(COUNTIF($D34:M34,"○")=AA32,1,0),0)</f>
        <v>#DIV/0!</v>
      </c>
      <c r="AB35" s="971" t="e">
        <f>IF($D$35&gt;=1.2,IF(COUNTIF($D34:N34,"○")=AB32,1,0),0)</f>
        <v>#DIV/0!</v>
      </c>
      <c r="AC35" s="971" t="e">
        <f>IF($D$35&gt;=1.2,IF(COUNTIF($D34:O34,"○")=AC32,1,0),0)</f>
        <v>#DIV/0!</v>
      </c>
    </row>
    <row r="36" spans="1:29" ht="23.1" customHeight="1" thickBot="1">
      <c r="A36" s="194"/>
      <c r="B36" s="1891"/>
      <c r="C36" s="1891"/>
      <c r="D36" s="1893"/>
      <c r="E36" s="1893"/>
      <c r="F36" s="1895"/>
      <c r="G36" s="1895"/>
      <c r="H36" s="1895"/>
      <c r="I36" s="1895"/>
      <c r="J36" s="1889"/>
      <c r="K36" s="1889"/>
      <c r="L36" s="1893"/>
      <c r="M36" s="1893"/>
      <c r="N36" s="1887"/>
      <c r="O36" s="1887"/>
      <c r="P36" s="1887"/>
    </row>
    <row r="37" spans="1:29" ht="23.1" customHeight="1">
      <c r="A37" s="194"/>
      <c r="B37" s="204"/>
      <c r="C37" s="204"/>
      <c r="D37" s="204"/>
      <c r="E37" s="204"/>
      <c r="F37" s="194"/>
      <c r="G37" s="194"/>
      <c r="H37" s="194"/>
      <c r="I37" s="194"/>
      <c r="J37" s="194"/>
      <c r="K37" s="194"/>
      <c r="L37" s="194"/>
      <c r="M37" s="194"/>
      <c r="N37" s="194"/>
      <c r="O37" s="194"/>
      <c r="P37" s="194"/>
    </row>
    <row r="38" spans="1:29" ht="23.1" customHeight="1">
      <c r="A38" s="194"/>
      <c r="B38" s="194"/>
      <c r="C38" s="194"/>
      <c r="D38" s="194"/>
      <c r="E38" s="194"/>
      <c r="F38" s="194"/>
      <c r="G38" s="194"/>
      <c r="H38" s="194"/>
      <c r="I38" s="194"/>
      <c r="J38" s="194"/>
      <c r="K38" s="194"/>
      <c r="L38" s="194"/>
      <c r="M38" s="194"/>
      <c r="N38" s="197"/>
      <c r="O38" s="197"/>
      <c r="P38" s="194"/>
    </row>
    <row r="39" spans="1:29" ht="23.1" customHeight="1">
      <c r="A39" s="194"/>
      <c r="B39" s="1886" t="s">
        <v>962</v>
      </c>
      <c r="C39" s="1886"/>
      <c r="D39" s="1886" t="str">
        <f>IFERROR(IF(OR(D35&gt;=1.2,AND(T2&gt;=2022,L35&gt;=1.15),COUNTIF(D34:O34,"未入力")&gt;=1),"×","○"),"×")</f>
        <v>×</v>
      </c>
      <c r="E39" s="1886"/>
      <c r="F39" s="194"/>
      <c r="G39" s="194"/>
      <c r="H39" s="194"/>
      <c r="I39" s="194"/>
      <c r="J39" s="194"/>
      <c r="K39" s="194"/>
      <c r="L39" s="194"/>
      <c r="M39" s="194"/>
      <c r="N39" s="197"/>
      <c r="O39" s="197"/>
      <c r="P39" s="194"/>
    </row>
    <row r="40" spans="1:29" ht="23.1" customHeight="1">
      <c r="A40" s="194"/>
      <c r="B40" s="194"/>
      <c r="C40" s="194"/>
      <c r="D40" s="194"/>
      <c r="E40" s="194"/>
      <c r="F40" s="194"/>
      <c r="G40" s="194"/>
      <c r="H40" s="194"/>
      <c r="I40" s="194"/>
      <c r="J40" s="194"/>
      <c r="K40" s="194"/>
      <c r="L40" s="194"/>
      <c r="M40" s="194"/>
      <c r="N40" s="197"/>
      <c r="O40" s="197"/>
      <c r="P40" s="194"/>
    </row>
    <row r="41" spans="1:29" ht="23.1" customHeight="1">
      <c r="A41" s="194"/>
      <c r="B41" s="194"/>
      <c r="C41" s="194"/>
      <c r="D41" s="194"/>
      <c r="E41" s="194"/>
      <c r="F41" s="194"/>
      <c r="G41" s="194"/>
      <c r="H41" s="194"/>
      <c r="I41" s="194"/>
      <c r="J41" s="194"/>
      <c r="K41" s="194"/>
      <c r="L41" s="194"/>
      <c r="M41" s="194"/>
      <c r="N41" s="197"/>
      <c r="O41" s="197"/>
      <c r="P41" s="194"/>
    </row>
    <row r="42" spans="1:29" ht="23.1" customHeight="1">
      <c r="A42" s="194"/>
      <c r="B42" s="194"/>
      <c r="C42" s="194"/>
      <c r="D42" s="194"/>
      <c r="E42" s="194"/>
      <c r="F42" s="194"/>
      <c r="G42" s="194"/>
      <c r="H42" s="194"/>
      <c r="I42" s="194"/>
      <c r="J42" s="194"/>
      <c r="K42" s="194"/>
      <c r="L42" s="194"/>
      <c r="M42" s="194"/>
      <c r="N42" s="197"/>
      <c r="O42" s="197"/>
      <c r="P42" s="194"/>
    </row>
    <row r="43" spans="1:29" ht="23.1" customHeight="1">
      <c r="A43" s="490" t="s">
        <v>587</v>
      </c>
      <c r="B43" s="204"/>
      <c r="C43" s="204"/>
      <c r="D43" s="204"/>
      <c r="E43" s="204"/>
      <c r="F43" s="204"/>
      <c r="G43" s="204"/>
      <c r="H43" s="204"/>
      <c r="I43" s="204"/>
      <c r="J43" s="204"/>
      <c r="K43" s="204"/>
      <c r="L43" s="1869" t="str">
        <f>$R$2&amp;"別紙6-2"&amp;$R$3</f>
        <v>加-25_4月申-別紙6-2-幼_Ver.4.00</v>
      </c>
      <c r="M43" s="1869"/>
      <c r="N43" s="1869"/>
      <c r="O43" s="1869"/>
      <c r="P43" s="1869"/>
    </row>
    <row r="44" spans="1:29" ht="23.1" customHeight="1">
      <c r="A44" s="194"/>
      <c r="B44" s="194"/>
      <c r="C44" s="194"/>
      <c r="D44" s="194"/>
      <c r="E44" s="194"/>
      <c r="F44" s="194"/>
      <c r="G44" s="194"/>
      <c r="H44" s="194"/>
      <c r="I44" s="194"/>
      <c r="J44" s="194"/>
      <c r="K44" s="194"/>
      <c r="L44" s="1871">
        <f>DATE(【様式１】総括表・個票!AK2+1,3,1)</f>
        <v>46082</v>
      </c>
      <c r="M44" s="1871"/>
      <c r="N44" s="1871"/>
      <c r="O44" s="1871"/>
      <c r="P44" s="1871"/>
    </row>
    <row r="45" spans="1:29" ht="23.1" customHeight="1">
      <c r="A45" s="194"/>
      <c r="B45" s="194"/>
      <c r="C45" s="194"/>
      <c r="D45" s="194"/>
      <c r="E45" s="194"/>
      <c r="F45" s="194"/>
      <c r="G45" s="194"/>
      <c r="H45" s="194"/>
      <c r="I45" s="194"/>
      <c r="J45" s="194"/>
      <c r="K45" s="194"/>
      <c r="L45" s="972"/>
      <c r="M45" s="972"/>
      <c r="N45" s="972"/>
      <c r="O45" s="972"/>
      <c r="P45" s="972"/>
    </row>
    <row r="46" spans="1:29" ht="23.1" customHeight="1">
      <c r="A46" s="194"/>
      <c r="B46" s="194" t="s">
        <v>967</v>
      </c>
      <c r="C46" s="194"/>
      <c r="D46" s="194"/>
      <c r="E46" s="194"/>
      <c r="F46" s="194"/>
      <c r="G46" s="194"/>
      <c r="H46" s="194"/>
      <c r="I46" s="194"/>
      <c r="J46" s="194"/>
      <c r="K46" s="194"/>
      <c r="L46" s="194"/>
      <c r="M46" s="194"/>
      <c r="N46" s="194"/>
      <c r="O46" s="194"/>
      <c r="P46" s="194"/>
    </row>
    <row r="47" spans="1:29" ht="23.1" customHeight="1">
      <c r="A47" s="194"/>
      <c r="B47" s="194"/>
      <c r="C47" s="194"/>
      <c r="D47" s="194"/>
      <c r="E47" s="194"/>
      <c r="F47" s="194"/>
      <c r="G47" s="194"/>
      <c r="H47" s="194"/>
      <c r="I47" s="194"/>
      <c r="J47" s="194"/>
      <c r="K47" s="194"/>
      <c r="L47" s="194"/>
      <c r="M47" s="194"/>
      <c r="N47" s="194"/>
      <c r="O47" s="194"/>
      <c r="P47" s="194"/>
    </row>
    <row r="48" spans="1:29" ht="23.1" customHeight="1">
      <c r="A48" s="194"/>
      <c r="B48" s="194"/>
      <c r="C48" s="194"/>
      <c r="D48" s="194"/>
      <c r="E48" s="194"/>
      <c r="F48" s="194"/>
      <c r="G48" s="194"/>
      <c r="H48" s="194"/>
      <c r="I48" s="1878" t="s">
        <v>575</v>
      </c>
      <c r="J48" s="194" t="s">
        <v>576</v>
      </c>
      <c r="K48" s="1896" t="str">
        <f>CONCATENATE(K6)</f>
        <v/>
      </c>
      <c r="L48" s="1896"/>
      <c r="M48" s="1896"/>
      <c r="N48" s="1896"/>
      <c r="O48" s="1896"/>
      <c r="P48" s="194"/>
    </row>
    <row r="49" spans="1:16" ht="23.1" customHeight="1">
      <c r="A49" s="194"/>
      <c r="B49" s="194"/>
      <c r="C49" s="194"/>
      <c r="D49" s="194"/>
      <c r="E49" s="194"/>
      <c r="F49" s="194"/>
      <c r="G49" s="194"/>
      <c r="H49" s="194"/>
      <c r="I49" s="1878"/>
      <c r="J49" s="194" t="s">
        <v>577</v>
      </c>
      <c r="K49" s="1897" t="str">
        <f>CONCATENATE(K7)</f>
        <v/>
      </c>
      <c r="L49" s="1897"/>
      <c r="M49" s="1897"/>
      <c r="N49" s="1897"/>
      <c r="O49" s="1897"/>
      <c r="P49" s="194"/>
    </row>
    <row r="50" spans="1:16" ht="23.1" customHeight="1">
      <c r="A50" s="194"/>
      <c r="B50" s="194"/>
      <c r="C50" s="194"/>
      <c r="D50" s="194"/>
      <c r="E50" s="194"/>
      <c r="F50" s="194"/>
      <c r="G50" s="194"/>
      <c r="H50" s="194"/>
      <c r="I50" s="194"/>
      <c r="J50" s="194"/>
      <c r="K50" s="194"/>
      <c r="L50" s="194"/>
      <c r="M50" s="194"/>
      <c r="N50" s="194"/>
      <c r="O50" s="970"/>
      <c r="P50" s="194"/>
    </row>
    <row r="51" spans="1:16" ht="23.1" customHeight="1">
      <c r="A51" s="194"/>
      <c r="B51" s="194"/>
      <c r="C51" s="194"/>
      <c r="D51" s="194"/>
      <c r="E51" s="194"/>
      <c r="F51" s="194"/>
      <c r="G51" s="194"/>
      <c r="H51" s="194"/>
      <c r="I51" s="194"/>
      <c r="J51" s="194"/>
      <c r="K51" s="194"/>
      <c r="L51" s="194"/>
      <c r="M51" s="194"/>
      <c r="N51" s="194"/>
      <c r="O51" s="194"/>
      <c r="P51" s="194"/>
    </row>
    <row r="52" spans="1:16" ht="23.1" customHeight="1">
      <c r="A52" s="194"/>
      <c r="B52" s="194"/>
      <c r="C52" s="194"/>
      <c r="D52" s="1898" t="s">
        <v>588</v>
      </c>
      <c r="E52" s="1898"/>
      <c r="F52" s="1898"/>
      <c r="G52" s="1898"/>
      <c r="H52" s="1898"/>
      <c r="I52" s="1898"/>
      <c r="J52" s="1898"/>
      <c r="K52" s="1898"/>
      <c r="L52" s="1898"/>
      <c r="M52" s="1898"/>
      <c r="N52" s="194"/>
      <c r="O52" s="194"/>
      <c r="P52" s="194"/>
    </row>
    <row r="53" spans="1:16" ht="23.1" customHeight="1">
      <c r="A53" s="194"/>
      <c r="B53" s="194"/>
      <c r="C53" s="194"/>
      <c r="D53" s="194"/>
      <c r="E53" s="194"/>
      <c r="F53" s="194"/>
      <c r="G53" s="194"/>
      <c r="H53" s="194"/>
      <c r="I53" s="194"/>
      <c r="J53" s="194"/>
      <c r="K53" s="194"/>
      <c r="L53" s="194"/>
      <c r="M53" s="194"/>
      <c r="N53" s="194"/>
      <c r="O53" s="194"/>
      <c r="P53" s="194"/>
    </row>
    <row r="54" spans="1:16" ht="23.1" customHeight="1">
      <c r="A54" s="1872" t="str">
        <f>"　教育の提供について、２年度間常に１号認定こどもの利用定員を超えており、かつ、年間平均在所率が120%以上の状態にありましたが、"&amp;【様式１】総括表・個票!$AK$2&amp;"年度の実績について下記のとおりとなっておりますので報告いたします。"</f>
        <v>　教育の提供について、２年度間常に１号認定こどもの利用定員を超えており、かつ、年間平均在所率が120%以上の状態にありましたが、2025年度の実績について下記のとおりとなっておりますので報告いたします。</v>
      </c>
      <c r="B54" s="1872"/>
      <c r="C54" s="1872"/>
      <c r="D54" s="1872"/>
      <c r="E54" s="1872"/>
      <c r="F54" s="1872"/>
      <c r="G54" s="1872"/>
      <c r="H54" s="1872"/>
      <c r="I54" s="1872"/>
      <c r="J54" s="1872"/>
      <c r="K54" s="1872"/>
      <c r="L54" s="1872"/>
      <c r="M54" s="1872"/>
      <c r="N54" s="1872"/>
      <c r="O54" s="1872"/>
      <c r="P54" s="1872"/>
    </row>
    <row r="55" spans="1:16" ht="23.1" customHeight="1">
      <c r="A55" s="1872"/>
      <c r="B55" s="1872"/>
      <c r="C55" s="1872"/>
      <c r="D55" s="1872"/>
      <c r="E55" s="1872"/>
      <c r="F55" s="1872"/>
      <c r="G55" s="1872"/>
      <c r="H55" s="1872"/>
      <c r="I55" s="1872"/>
      <c r="J55" s="1872"/>
      <c r="K55" s="1872"/>
      <c r="L55" s="1872"/>
      <c r="M55" s="1872"/>
      <c r="N55" s="1872"/>
      <c r="O55" s="1872"/>
      <c r="P55" s="1872"/>
    </row>
    <row r="56" spans="1:16" ht="23.1" customHeight="1">
      <c r="A56" s="1872"/>
      <c r="B56" s="1872"/>
      <c r="C56" s="1872"/>
      <c r="D56" s="1872"/>
      <c r="E56" s="1872"/>
      <c r="F56" s="1872"/>
      <c r="G56" s="1872"/>
      <c r="H56" s="1872"/>
      <c r="I56" s="1872"/>
      <c r="J56" s="1872"/>
      <c r="K56" s="1872"/>
      <c r="L56" s="1872"/>
      <c r="M56" s="1872"/>
      <c r="N56" s="1872"/>
      <c r="O56" s="1872"/>
      <c r="P56" s="1872"/>
    </row>
    <row r="57" spans="1:16" ht="23.1" customHeight="1">
      <c r="A57" s="1872"/>
      <c r="B57" s="1872"/>
      <c r="C57" s="1872"/>
      <c r="D57" s="1872"/>
      <c r="E57" s="1872"/>
      <c r="F57" s="1872"/>
      <c r="G57" s="1872"/>
      <c r="H57" s="1872"/>
      <c r="I57" s="1872"/>
      <c r="J57" s="1872"/>
      <c r="K57" s="1872"/>
      <c r="L57" s="1872"/>
      <c r="M57" s="1872"/>
      <c r="N57" s="1872"/>
      <c r="O57" s="1872"/>
      <c r="P57" s="1872"/>
    </row>
    <row r="58" spans="1:16" ht="23.1" customHeight="1">
      <c r="A58" s="194"/>
      <c r="B58" s="194"/>
      <c r="C58" s="194"/>
      <c r="D58" s="194"/>
      <c r="E58" s="194"/>
      <c r="F58" s="194"/>
      <c r="G58" s="194"/>
      <c r="H58" s="194"/>
      <c r="I58" s="194"/>
      <c r="J58" s="194"/>
      <c r="K58" s="194"/>
      <c r="L58" s="194"/>
      <c r="M58" s="194"/>
      <c r="N58" s="194"/>
      <c r="O58" s="194"/>
      <c r="P58" s="194"/>
    </row>
    <row r="59" spans="1:16" ht="23.1" customHeight="1">
      <c r="A59" s="1876" t="s">
        <v>580</v>
      </c>
      <c r="B59" s="1876"/>
      <c r="C59" s="1876"/>
      <c r="D59" s="1876"/>
      <c r="E59" s="1876"/>
      <c r="F59" s="194"/>
      <c r="G59" s="194"/>
      <c r="H59" s="194"/>
      <c r="I59" s="194"/>
      <c r="J59" s="194"/>
      <c r="K59" s="194"/>
      <c r="L59" s="194"/>
      <c r="M59" s="194"/>
      <c r="N59" s="194"/>
      <c r="O59" s="194"/>
      <c r="P59" s="194"/>
    </row>
    <row r="60" spans="1:16" ht="23.1" customHeight="1">
      <c r="A60" s="194"/>
      <c r="B60" s="1875">
        <f>【様式１】総括表・個票!$D$12</f>
        <v>0</v>
      </c>
      <c r="C60" s="1875"/>
      <c r="D60" s="1875"/>
      <c r="E60" s="1875"/>
      <c r="F60" s="1875"/>
      <c r="G60" s="1875"/>
      <c r="H60" s="197"/>
      <c r="I60" s="197"/>
      <c r="J60" s="197"/>
      <c r="K60" s="197"/>
      <c r="L60" s="197"/>
      <c r="M60" s="197"/>
      <c r="N60" s="197"/>
      <c r="O60" s="197"/>
      <c r="P60" s="194"/>
    </row>
    <row r="61" spans="1:16" ht="23.1" customHeight="1">
      <c r="A61" s="194"/>
      <c r="B61" s="194"/>
      <c r="C61" s="194"/>
      <c r="D61" s="194"/>
      <c r="E61" s="194"/>
      <c r="F61" s="194"/>
      <c r="G61" s="194"/>
      <c r="H61" s="194"/>
      <c r="I61" s="194"/>
      <c r="J61" s="194"/>
      <c r="K61" s="194"/>
      <c r="L61" s="194"/>
      <c r="M61" s="194"/>
      <c r="N61" s="194"/>
      <c r="O61" s="194"/>
      <c r="P61" s="194"/>
    </row>
    <row r="62" spans="1:16" ht="23.1" customHeight="1">
      <c r="A62" s="1876" t="s">
        <v>964</v>
      </c>
      <c r="B62" s="1876"/>
      <c r="C62" s="1876"/>
      <c r="D62" s="1876"/>
      <c r="E62" s="1876"/>
      <c r="F62" s="194"/>
      <c r="G62" s="194"/>
      <c r="H62" s="194"/>
      <c r="I62" s="194"/>
      <c r="J62" s="194"/>
      <c r="K62" s="194"/>
      <c r="L62" s="194"/>
      <c r="M62" s="194"/>
      <c r="N62" s="194"/>
      <c r="O62" s="194"/>
      <c r="P62" s="194"/>
    </row>
    <row r="63" spans="1:16" ht="23.1" customHeight="1">
      <c r="A63" s="194"/>
      <c r="B63" s="1877" t="str">
        <f>CONCATENATE(【様式１】総括表・個票!$S$204)</f>
        <v/>
      </c>
      <c r="C63" s="1877"/>
      <c r="D63" s="1877"/>
      <c r="E63" s="1877"/>
      <c r="F63" s="1877"/>
      <c r="G63" s="1877"/>
      <c r="H63" s="198"/>
      <c r="I63" s="198"/>
      <c r="J63" s="198"/>
      <c r="K63" s="198"/>
      <c r="L63" s="198"/>
      <c r="M63" s="198"/>
      <c r="N63" s="198"/>
      <c r="O63" s="198"/>
      <c r="P63" s="194"/>
    </row>
    <row r="64" spans="1:16" ht="23.1" customHeight="1">
      <c r="A64" s="194"/>
      <c r="B64" s="198"/>
      <c r="C64" s="198"/>
      <c r="D64" s="198"/>
      <c r="E64" s="198"/>
      <c r="F64" s="194"/>
      <c r="G64" s="194"/>
      <c r="H64" s="194"/>
      <c r="I64" s="194"/>
      <c r="J64" s="194"/>
      <c r="K64" s="194"/>
      <c r="L64" s="194"/>
      <c r="M64" s="194"/>
      <c r="N64" s="194"/>
      <c r="O64" s="194"/>
      <c r="P64" s="194"/>
    </row>
    <row r="65" spans="1:29" ht="23.1" customHeight="1">
      <c r="A65" s="194"/>
      <c r="B65" s="198" t="s">
        <v>582</v>
      </c>
      <c r="C65" s="198"/>
      <c r="D65" s="198"/>
      <c r="E65" s="198"/>
      <c r="F65" s="194"/>
      <c r="G65" s="194"/>
      <c r="H65" s="194"/>
      <c r="I65" s="194"/>
      <c r="J65" s="194"/>
      <c r="K65" s="194"/>
      <c r="L65" s="194"/>
      <c r="M65" s="194"/>
      <c r="N65" s="194"/>
      <c r="O65" s="194"/>
      <c r="P65" s="194"/>
      <c r="R65" s="971" t="str">
        <f>IF(B63&lt;&gt;"","○","")</f>
        <v/>
      </c>
    </row>
    <row r="66" spans="1:29" ht="23.1" customHeight="1">
      <c r="A66" s="194"/>
      <c r="B66" s="1878" t="str">
        <f>IF($R$65="○","見直し前","定員")</f>
        <v>定員</v>
      </c>
      <c r="C66" s="1878"/>
      <c r="D66" s="1879">
        <f>D25</f>
        <v>0</v>
      </c>
      <c r="E66" s="1879"/>
      <c r="F66" s="194" t="s">
        <v>8</v>
      </c>
      <c r="G66" s="194"/>
      <c r="H66" s="194"/>
      <c r="I66" s="194"/>
      <c r="J66" s="194"/>
      <c r="K66" s="194"/>
      <c r="L66" s="194"/>
      <c r="M66" s="194"/>
      <c r="N66" s="194"/>
      <c r="O66" s="194"/>
      <c r="P66" s="194"/>
    </row>
    <row r="67" spans="1:29" ht="23.1" customHeight="1">
      <c r="A67" s="194"/>
      <c r="B67" s="1878" t="str">
        <f>IF($R$65="○","見直し後","")</f>
        <v/>
      </c>
      <c r="C67" s="1878"/>
      <c r="D67" s="1879">
        <f>D26</f>
        <v>0</v>
      </c>
      <c r="E67" s="1879"/>
      <c r="F67" s="194" t="str">
        <f>IF($R$65="○","人","")</f>
        <v/>
      </c>
      <c r="G67" s="1878" t="str">
        <f>IF($R$65="○","（見直した月","")</f>
        <v/>
      </c>
      <c r="H67" s="1878"/>
      <c r="I67" s="1878"/>
      <c r="J67" s="1879">
        <f>J26</f>
        <v>0</v>
      </c>
      <c r="K67" s="1879"/>
      <c r="L67" s="194" t="str">
        <f>IF($R$65="○","月）","")</f>
        <v/>
      </c>
      <c r="M67" s="194"/>
      <c r="N67" s="194"/>
      <c r="O67" s="194"/>
      <c r="P67" s="194"/>
    </row>
    <row r="68" spans="1:29" ht="23.1" customHeight="1">
      <c r="A68" s="194"/>
      <c r="B68" s="194"/>
      <c r="C68" s="194"/>
      <c r="D68" s="194"/>
      <c r="E68" s="194"/>
      <c r="F68" s="194"/>
      <c r="G68" s="194"/>
      <c r="H68" s="194"/>
      <c r="I68" s="194"/>
      <c r="J68" s="194"/>
      <c r="K68" s="194"/>
      <c r="L68" s="194"/>
      <c r="M68" s="194"/>
      <c r="N68" s="194"/>
      <c r="O68" s="194"/>
      <c r="P68" s="194"/>
      <c r="R68" s="196">
        <f>D66</f>
        <v>0</v>
      </c>
    </row>
    <row r="69" spans="1:29" ht="23.1" customHeight="1">
      <c r="A69" s="194"/>
      <c r="B69" s="194" t="s">
        <v>616</v>
      </c>
      <c r="C69" s="194"/>
      <c r="D69" s="194"/>
      <c r="E69" s="194"/>
      <c r="F69" s="194"/>
      <c r="G69" s="194"/>
      <c r="H69" s="194"/>
      <c r="I69" s="194"/>
      <c r="J69" s="194"/>
      <c r="K69" s="194"/>
      <c r="L69" s="194"/>
      <c r="M69" s="194"/>
      <c r="N69" s="194"/>
      <c r="O69" s="194"/>
      <c r="P69" s="194"/>
      <c r="R69" s="196">
        <f>IF(D67="",R68,D67)</f>
        <v>0</v>
      </c>
      <c r="S69" s="199">
        <f>IF(OR(J67="",J67=0),12,IF(J67&gt;=4,J67-3,J67+9))</f>
        <v>12</v>
      </c>
    </row>
    <row r="70" spans="1:29" ht="23.1" customHeight="1">
      <c r="A70" s="194"/>
      <c r="B70" s="194" t="s">
        <v>589</v>
      </c>
      <c r="C70" s="194"/>
      <c r="D70" s="194"/>
      <c r="E70" s="194"/>
      <c r="F70" s="194"/>
      <c r="G70" s="194"/>
      <c r="H70" s="194"/>
      <c r="I70" s="194"/>
      <c r="J70" s="194"/>
      <c r="K70" s="194"/>
      <c r="L70" s="194"/>
      <c r="M70" s="194"/>
      <c r="N70" s="194"/>
      <c r="O70" s="194"/>
      <c r="P70" s="194"/>
    </row>
    <row r="71" spans="1:29" ht="23.1" customHeight="1" thickBot="1">
      <c r="A71" s="194"/>
      <c r="B71" s="194" t="e">
        <f>IF(AND($D$76&gt;1.2,$P$75&lt;&gt;0),"　また、年間平均在所率が120%以上となっていたため減算適用いたします。","なお、年間平均在所率は120%以上ではありませんでした。")</f>
        <v>#DIV/0!</v>
      </c>
      <c r="C71" s="194"/>
      <c r="D71" s="194"/>
      <c r="E71" s="194"/>
      <c r="F71" s="194"/>
      <c r="G71" s="194"/>
      <c r="H71" s="194"/>
      <c r="I71" s="194"/>
      <c r="J71" s="194"/>
      <c r="K71" s="194"/>
      <c r="L71" s="194"/>
      <c r="M71" s="194"/>
      <c r="N71" s="194"/>
      <c r="O71" s="194"/>
      <c r="P71" s="194"/>
    </row>
    <row r="72" spans="1:29" ht="23.1" customHeight="1">
      <c r="A72" s="194"/>
      <c r="B72" s="1880" t="s">
        <v>586</v>
      </c>
      <c r="C72" s="1880"/>
      <c r="D72" s="366" t="s">
        <v>185</v>
      </c>
      <c r="E72" s="367" t="s">
        <v>71</v>
      </c>
      <c r="F72" s="367" t="s">
        <v>72</v>
      </c>
      <c r="G72" s="367" t="s">
        <v>73</v>
      </c>
      <c r="H72" s="367" t="s">
        <v>74</v>
      </c>
      <c r="I72" s="367" t="s">
        <v>75</v>
      </c>
      <c r="J72" s="367" t="s">
        <v>76</v>
      </c>
      <c r="K72" s="367" t="s">
        <v>77</v>
      </c>
      <c r="L72" s="367" t="s">
        <v>78</v>
      </c>
      <c r="M72" s="367" t="s">
        <v>79</v>
      </c>
      <c r="N72" s="367" t="s">
        <v>80</v>
      </c>
      <c r="O72" s="368" t="s">
        <v>81</v>
      </c>
      <c r="P72" s="200" t="s">
        <v>12</v>
      </c>
    </row>
    <row r="73" spans="1:29" ht="23.1" customHeight="1">
      <c r="A73" s="194"/>
      <c r="B73" s="1882" t="s">
        <v>581</v>
      </c>
      <c r="C73" s="1882"/>
      <c r="D73" s="369">
        <f>IF($S$69&gt;R74,$R$68,$R$69)</f>
        <v>0</v>
      </c>
      <c r="E73" s="370">
        <f t="shared" ref="E73:O73" si="3">IF($S$69&gt;S74,$R$68,$R$69)</f>
        <v>0</v>
      </c>
      <c r="F73" s="370">
        <f t="shared" si="3"/>
        <v>0</v>
      </c>
      <c r="G73" s="370">
        <f t="shared" si="3"/>
        <v>0</v>
      </c>
      <c r="H73" s="370">
        <f t="shared" si="3"/>
        <v>0</v>
      </c>
      <c r="I73" s="370">
        <f t="shared" si="3"/>
        <v>0</v>
      </c>
      <c r="J73" s="370">
        <f t="shared" si="3"/>
        <v>0</v>
      </c>
      <c r="K73" s="370">
        <f t="shared" si="3"/>
        <v>0</v>
      </c>
      <c r="L73" s="370">
        <f t="shared" si="3"/>
        <v>0</v>
      </c>
      <c r="M73" s="370">
        <f t="shared" si="3"/>
        <v>0</v>
      </c>
      <c r="N73" s="370">
        <f t="shared" si="3"/>
        <v>0</v>
      </c>
      <c r="O73" s="371">
        <f t="shared" si="3"/>
        <v>0</v>
      </c>
      <c r="P73" s="201">
        <f>SUM(D73:O73)</f>
        <v>0</v>
      </c>
      <c r="R73" s="969" t="s">
        <v>185</v>
      </c>
      <c r="S73" s="969" t="s">
        <v>71</v>
      </c>
      <c r="T73" s="969" t="s">
        <v>72</v>
      </c>
      <c r="U73" s="969" t="s">
        <v>73</v>
      </c>
      <c r="V73" s="969" t="s">
        <v>74</v>
      </c>
      <c r="W73" s="969" t="s">
        <v>75</v>
      </c>
      <c r="X73" s="969" t="s">
        <v>76</v>
      </c>
      <c r="Y73" s="969" t="s">
        <v>77</v>
      </c>
      <c r="Z73" s="969" t="s">
        <v>78</v>
      </c>
      <c r="AA73" s="969" t="s">
        <v>79</v>
      </c>
      <c r="AB73" s="969" t="s">
        <v>80</v>
      </c>
      <c r="AC73" s="969" t="s">
        <v>81</v>
      </c>
    </row>
    <row r="74" spans="1:29" ht="23.1" customHeight="1">
      <c r="A74" s="194"/>
      <c r="B74" s="1883" t="s">
        <v>583</v>
      </c>
      <c r="C74" s="1883"/>
      <c r="D74" s="372"/>
      <c r="E74" s="373"/>
      <c r="F74" s="373"/>
      <c r="G74" s="373"/>
      <c r="H74" s="373"/>
      <c r="I74" s="373"/>
      <c r="J74" s="373"/>
      <c r="K74" s="373"/>
      <c r="L74" s="373"/>
      <c r="M74" s="373"/>
      <c r="N74" s="373"/>
      <c r="O74" s="374"/>
      <c r="P74" s="202">
        <f>SUM(D74:O74)</f>
        <v>0</v>
      </c>
      <c r="R74" s="196">
        <v>1</v>
      </c>
      <c r="S74" s="196">
        <v>2</v>
      </c>
      <c r="T74" s="196">
        <v>3</v>
      </c>
      <c r="U74" s="196">
        <v>4</v>
      </c>
      <c r="V74" s="196">
        <v>5</v>
      </c>
      <c r="W74" s="196">
        <v>6</v>
      </c>
      <c r="X74" s="196">
        <v>7</v>
      </c>
      <c r="Y74" s="196">
        <v>8</v>
      </c>
      <c r="Z74" s="196">
        <v>9</v>
      </c>
      <c r="AA74" s="196">
        <v>10</v>
      </c>
      <c r="AB74" s="196">
        <v>11</v>
      </c>
      <c r="AC74" s="196">
        <v>12</v>
      </c>
    </row>
    <row r="75" spans="1:29" ht="23.1" customHeight="1" thickBot="1">
      <c r="A75" s="194"/>
      <c r="B75" s="1883" t="s">
        <v>584</v>
      </c>
      <c r="C75" s="1883"/>
      <c r="D75" s="375" t="str">
        <f>IF(D74="","未入力",IF(D74&gt;D73,"○","×"))</f>
        <v>未入力</v>
      </c>
      <c r="E75" s="376" t="str">
        <f t="shared" ref="E75" si="4">IF(E74="","未入力",IF(E74&gt;E73,"○","×"))</f>
        <v>未入力</v>
      </c>
      <c r="F75" s="377" t="str">
        <f t="shared" ref="F75" si="5">IF(F74="","未入力",IF(F74&gt;F73,"○","×"))</f>
        <v>未入力</v>
      </c>
      <c r="G75" s="377" t="str">
        <f t="shared" ref="G75" si="6">IF(G74="","未入力",IF(G74&gt;G73,"○","×"))</f>
        <v>未入力</v>
      </c>
      <c r="H75" s="377" t="str">
        <f t="shared" ref="H75" si="7">IF(H74="","未入力",IF(H74&gt;H73,"○","×"))</f>
        <v>未入力</v>
      </c>
      <c r="I75" s="377" t="str">
        <f t="shared" ref="I75" si="8">IF(I74="","未入力",IF(I74&gt;I73,"○","×"))</f>
        <v>未入力</v>
      </c>
      <c r="J75" s="377" t="str">
        <f t="shared" ref="J75" si="9">IF(J74="","未入力",IF(J74&gt;J73,"○","×"))</f>
        <v>未入力</v>
      </c>
      <c r="K75" s="377" t="str">
        <f t="shared" ref="K75" si="10">IF(K74="","未入力",IF(K74&gt;K73,"○","×"))</f>
        <v>未入力</v>
      </c>
      <c r="L75" s="377" t="str">
        <f t="shared" ref="L75" si="11">IF(L74="","未入力",IF(L74&gt;L73,"○","×"))</f>
        <v>未入力</v>
      </c>
      <c r="M75" s="377" t="str">
        <f t="shared" ref="M75" si="12">IF(M74="","未入力",IF(M74&gt;M73,"○","×"))</f>
        <v>未入力</v>
      </c>
      <c r="N75" s="377" t="str">
        <f t="shared" ref="N75" si="13">IF(N74="","未入力",IF(N74&gt;N73,"○","×"))</f>
        <v>未入力</v>
      </c>
      <c r="O75" s="378" t="str">
        <f t="shared" ref="O75" si="14">IF(O74="","未入力",IF(O74&gt;O73,"○","×"))</f>
        <v>未入力</v>
      </c>
      <c r="P75" s="203" t="e">
        <f>SUM(R77:AC77)</f>
        <v>#DIV/0!</v>
      </c>
    </row>
    <row r="76" spans="1:29" ht="23.1" customHeight="1" thickBot="1">
      <c r="A76" s="194"/>
      <c r="B76" s="1884" t="s">
        <v>585</v>
      </c>
      <c r="C76" s="1885"/>
      <c r="D76" s="1873" t="e">
        <f>ROUNDDOWN(P74/P73,2)</f>
        <v>#DIV/0!</v>
      </c>
      <c r="E76" s="1874"/>
      <c r="F76" s="194"/>
      <c r="G76" s="194"/>
      <c r="H76" s="194"/>
      <c r="I76" s="194"/>
      <c r="J76" s="194"/>
      <c r="K76" s="194"/>
      <c r="L76" s="194"/>
      <c r="M76" s="194"/>
      <c r="N76" s="194"/>
      <c r="O76" s="194"/>
      <c r="P76" s="194"/>
      <c r="R76" s="1868" t="s">
        <v>120</v>
      </c>
      <c r="S76" s="1868"/>
      <c r="T76" s="1868"/>
      <c r="U76" s="1868"/>
      <c r="V76" s="1868"/>
      <c r="W76" s="1868"/>
      <c r="X76" s="1868"/>
      <c r="Y76" s="1868"/>
      <c r="Z76" s="1868"/>
      <c r="AA76" s="1868"/>
      <c r="AB76" s="1868"/>
      <c r="AC76" s="1868"/>
    </row>
    <row r="77" spans="1:29" ht="23.1" customHeight="1">
      <c r="A77" s="194"/>
      <c r="B77" s="194"/>
      <c r="C77" s="194"/>
      <c r="D77" s="194"/>
      <c r="E77" s="194"/>
      <c r="F77" s="194"/>
      <c r="G77" s="194"/>
      <c r="H77" s="194"/>
      <c r="I77" s="194"/>
      <c r="J77" s="194"/>
      <c r="K77" s="194"/>
      <c r="L77" s="194"/>
      <c r="M77" s="194"/>
      <c r="N77" s="194"/>
      <c r="O77" s="194"/>
      <c r="P77" s="194"/>
      <c r="R77" s="971" t="e">
        <f>IF($D$76&gt;=1.2,IF(COUNTIF($D75:D75,"○")=R74,1,0),0)</f>
        <v>#DIV/0!</v>
      </c>
      <c r="S77" s="971" t="e">
        <f>IF($D$76&gt;=1.2,IF(COUNTIF($D75:E75,"○")=S74,1,0),0)</f>
        <v>#DIV/0!</v>
      </c>
      <c r="T77" s="971" t="e">
        <f>IF($D$76&gt;=1.2,IF(COUNTIF($D75:F75,"○")=T74,1,0),0)</f>
        <v>#DIV/0!</v>
      </c>
      <c r="U77" s="971" t="e">
        <f>IF($D$76&gt;=1.2,IF(COUNTIF($D75:G75,"○")=U74,1,0),0)</f>
        <v>#DIV/0!</v>
      </c>
      <c r="V77" s="971" t="e">
        <f>IF($D$76&gt;=1.2,IF(COUNTIF($D75:H75,"○")=V74,1,0),0)</f>
        <v>#DIV/0!</v>
      </c>
      <c r="W77" s="971" t="e">
        <f>IF($D$76&gt;=1.2,IF(COUNTIF($D75:I75,"○")=W74,1,0),0)</f>
        <v>#DIV/0!</v>
      </c>
      <c r="X77" s="971" t="e">
        <f>IF($D$76&gt;=1.2,IF(COUNTIF($D75:J75,"○")=X74,1,0),0)</f>
        <v>#DIV/0!</v>
      </c>
      <c r="Y77" s="971" t="e">
        <f>IF($D$76&gt;=1.2,IF(COUNTIF($D75:K75,"○")=Y74,1,0),0)</f>
        <v>#DIV/0!</v>
      </c>
      <c r="Z77" s="971" t="e">
        <f>IF($D$76&gt;=1.2,IF(COUNTIF($D75:L75,"○")=Z74,1,0),0)</f>
        <v>#DIV/0!</v>
      </c>
      <c r="AA77" s="971" t="e">
        <f>IF($D$76&gt;=1.2,IF(COUNTIF($D75:M75,"○")=AA74,1,0),0)</f>
        <v>#DIV/0!</v>
      </c>
      <c r="AB77" s="971" t="e">
        <f>IF($D$76&gt;=1.2,IF(COUNTIF($D75:N75,"○")=AB74,1,0),0)</f>
        <v>#DIV/0!</v>
      </c>
      <c r="AC77" s="971" t="e">
        <f>IF($D$76&gt;=1.2,IF(COUNTIF($D75:O75,"○")=AC74,1,0),0)</f>
        <v>#DIV/0!</v>
      </c>
    </row>
    <row r="78" spans="1:29" ht="23.1" customHeight="1">
      <c r="A78" s="194"/>
      <c r="B78" s="1881" t="e">
        <f>IF(AND($D$76&gt;=1.2,$P$75&lt;&gt;0),"　減算遡及適用：4　月　～　"&amp;IF(P75&gt;9,P75-9,P75+3)&amp;"　月","")</f>
        <v>#DIV/0!</v>
      </c>
      <c r="C78" s="1881"/>
      <c r="D78" s="1881"/>
      <c r="E78" s="1881"/>
      <c r="F78" s="1881"/>
      <c r="G78" s="1881"/>
      <c r="H78" s="1881"/>
      <c r="I78" s="1881"/>
      <c r="J78" s="194"/>
      <c r="K78" s="194"/>
      <c r="L78" s="194"/>
      <c r="M78" s="194"/>
      <c r="N78" s="194"/>
      <c r="O78" s="194"/>
      <c r="P78" s="194"/>
    </row>
    <row r="79" spans="1:29" ht="23.1" customHeight="1">
      <c r="A79" s="194"/>
      <c r="B79" s="204"/>
      <c r="C79" s="204"/>
      <c r="D79" s="204"/>
      <c r="E79" s="204"/>
      <c r="F79" s="204"/>
      <c r="G79" s="204"/>
      <c r="H79" s="204"/>
      <c r="I79" s="194"/>
      <c r="J79" s="194"/>
      <c r="K79" s="194"/>
      <c r="L79" s="194"/>
      <c r="M79" s="194"/>
      <c r="N79" s="197"/>
      <c r="O79" s="197"/>
      <c r="P79" s="194"/>
    </row>
    <row r="80" spans="1:29" ht="23.1" customHeight="1">
      <c r="A80" s="194"/>
      <c r="B80" s="194"/>
      <c r="C80" s="194"/>
      <c r="D80" s="194"/>
      <c r="E80" s="194"/>
      <c r="F80" s="194"/>
      <c r="G80" s="194"/>
      <c r="H80" s="194"/>
      <c r="I80" s="194"/>
      <c r="J80" s="194"/>
      <c r="K80" s="194"/>
      <c r="L80" s="194"/>
      <c r="M80" s="194"/>
      <c r="N80" s="197"/>
      <c r="O80" s="197"/>
      <c r="P80" s="194"/>
    </row>
    <row r="81" spans="1:16" ht="23.1" customHeight="1">
      <c r="A81" s="194"/>
      <c r="B81" s="194"/>
      <c r="C81" s="194"/>
      <c r="D81" s="194"/>
      <c r="E81" s="194"/>
      <c r="F81" s="194"/>
      <c r="G81" s="194"/>
      <c r="H81" s="194"/>
      <c r="I81" s="194"/>
      <c r="J81" s="194"/>
      <c r="K81" s="194"/>
      <c r="L81" s="194"/>
      <c r="M81" s="194"/>
      <c r="N81" s="197"/>
      <c r="O81" s="197"/>
      <c r="P81" s="194"/>
    </row>
    <row r="82" spans="1:16" ht="23.1" customHeight="1">
      <c r="A82" s="194"/>
      <c r="B82" s="194"/>
      <c r="C82" s="194"/>
      <c r="D82" s="194"/>
      <c r="E82" s="194"/>
      <c r="F82" s="194"/>
      <c r="G82" s="194"/>
      <c r="H82" s="194"/>
      <c r="I82" s="194"/>
      <c r="J82" s="194"/>
      <c r="K82" s="194"/>
      <c r="L82" s="194"/>
      <c r="M82" s="194"/>
      <c r="N82" s="197"/>
      <c r="O82" s="197"/>
      <c r="P82" s="194"/>
    </row>
    <row r="83" spans="1:16" ht="23.1" customHeight="1">
      <c r="A83" s="194"/>
      <c r="B83" s="194"/>
      <c r="C83" s="194"/>
      <c r="D83" s="194"/>
      <c r="E83" s="194"/>
      <c r="F83" s="194"/>
      <c r="G83" s="194"/>
      <c r="H83" s="194"/>
      <c r="I83" s="194"/>
      <c r="J83" s="194"/>
      <c r="K83" s="194"/>
      <c r="L83" s="194"/>
      <c r="M83" s="194"/>
      <c r="N83" s="197"/>
      <c r="O83" s="197"/>
      <c r="P83" s="194"/>
    </row>
  </sheetData>
  <sheetProtection algorithmName="SHA-512" hashValue="Znn8/zzeICWgbbYPu3pDZAQ2fssxoH5D8okxFoMglnbUaFo6JgMz1PB2dcGe/nlLCZVTK3i/+2AEwA28+IlMaA==" saltValue="rvaYd5cdrrTyt4H8TXcuNw==" spinCount="100000" sheet="1" objects="1" scenarios="1"/>
  <mergeCells count="56">
    <mergeCell ref="G26:I26"/>
    <mergeCell ref="B34:C34"/>
    <mergeCell ref="J26:K26"/>
    <mergeCell ref="B32:C32"/>
    <mergeCell ref="B33:C33"/>
    <mergeCell ref="B31:C31"/>
    <mergeCell ref="B26:C26"/>
    <mergeCell ref="D26:E26"/>
    <mergeCell ref="A18:E18"/>
    <mergeCell ref="A21:E21"/>
    <mergeCell ref="B19:G19"/>
    <mergeCell ref="D25:E25"/>
    <mergeCell ref="B25:C25"/>
    <mergeCell ref="B22:G22"/>
    <mergeCell ref="K6:O6"/>
    <mergeCell ref="K7:O7"/>
    <mergeCell ref="A12:P15"/>
    <mergeCell ref="I6:I7"/>
    <mergeCell ref="D10:M10"/>
    <mergeCell ref="D67:E67"/>
    <mergeCell ref="G67:I67"/>
    <mergeCell ref="J67:K67"/>
    <mergeCell ref="A59:E59"/>
    <mergeCell ref="I48:I49"/>
    <mergeCell ref="K48:O48"/>
    <mergeCell ref="K49:O49"/>
    <mergeCell ref="D52:M52"/>
    <mergeCell ref="B39:C39"/>
    <mergeCell ref="D39:E39"/>
    <mergeCell ref="N35:P36"/>
    <mergeCell ref="J35:K36"/>
    <mergeCell ref="B35:C36"/>
    <mergeCell ref="D35:E36"/>
    <mergeCell ref="L35:M36"/>
    <mergeCell ref="F35:I36"/>
    <mergeCell ref="B78:I78"/>
    <mergeCell ref="B73:C73"/>
    <mergeCell ref="B74:C74"/>
    <mergeCell ref="B75:C75"/>
    <mergeCell ref="B76:C76"/>
    <mergeCell ref="A16:P16"/>
    <mergeCell ref="R34:AC34"/>
    <mergeCell ref="R76:AC76"/>
    <mergeCell ref="L1:P1"/>
    <mergeCell ref="L43:P43"/>
    <mergeCell ref="L2:P2"/>
    <mergeCell ref="L44:P44"/>
    <mergeCell ref="A54:P57"/>
    <mergeCell ref="D76:E76"/>
    <mergeCell ref="B60:G60"/>
    <mergeCell ref="A62:E62"/>
    <mergeCell ref="B63:G63"/>
    <mergeCell ref="B66:C66"/>
    <mergeCell ref="D66:E66"/>
    <mergeCell ref="B67:C67"/>
    <mergeCell ref="B72:C72"/>
  </mergeCells>
  <phoneticPr fontId="1"/>
  <conditionalFormatting sqref="D35">
    <cfRule type="cellIs" dxfId="42" priority="8" operator="greaterThanOrEqual">
      <formula>1.2</formula>
    </cfRule>
  </conditionalFormatting>
  <conditionalFormatting sqref="D76:E76">
    <cfRule type="cellIs" dxfId="41" priority="5" operator="greaterThanOrEqual">
      <formula>1.2</formula>
    </cfRule>
  </conditionalFormatting>
  <conditionalFormatting sqref="D34:O34">
    <cfRule type="containsText" dxfId="40" priority="10" operator="containsText" text="未入力">
      <formula>NOT(ISERROR(SEARCH("未入力",D34)))</formula>
    </cfRule>
  </conditionalFormatting>
  <conditionalFormatting sqref="D75:O75">
    <cfRule type="containsText" dxfId="39" priority="7" operator="containsText" text="未入力">
      <formula>NOT(ISERROR(SEARCH("未入力",D75)))</formula>
    </cfRule>
  </conditionalFormatting>
  <conditionalFormatting sqref="L35">
    <cfRule type="cellIs" dxfId="38" priority="2" operator="greaterThanOrEqual">
      <formula>1.15</formula>
    </cfRule>
  </conditionalFormatting>
  <conditionalFormatting sqref="P34">
    <cfRule type="containsText" dxfId="37" priority="4" operator="containsText" text="超過">
      <formula>NOT(ISERROR(SEARCH("超過",P34)))</formula>
    </cfRule>
  </conditionalFormatting>
  <conditionalFormatting sqref="P75">
    <cfRule type="containsText" dxfId="36" priority="6" operator="containsText" text="超過">
      <formula>NOT(ISERROR(SEARCH("超過",P75)))</formula>
    </cfRule>
  </conditionalFormatting>
  <dataValidations count="1">
    <dataValidation type="list" allowBlank="1" showInputMessage="1" showErrorMessage="1" sqref="J26:K26 J67:K67" xr:uid="{00000000-0002-0000-0800-000000000000}">
      <formula1>$S$2:$S$13</formula1>
    </dataValidation>
  </dataValidations>
  <printOptions horizontalCentered="1"/>
  <pageMargins left="0.31496062992125984" right="0.31496062992125984" top="0.74803149606299213" bottom="0.74803149606299213" header="0.31496062992125984" footer="0.31496062992125984"/>
  <pageSetup paperSize="9" scale="73" orientation="portrait" r:id="rId1"/>
  <rowBreaks count="1" manualBreakCount="1">
    <brk id="42"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128</vt:i4>
      </vt:variant>
    </vt:vector>
  </HeadingPairs>
  <TitlesOfParts>
    <vt:vector size="144" baseType="lpstr">
      <vt:lpstr>施設状況(要更新)</vt:lpstr>
      <vt:lpstr>休日情報(要更新)</vt:lpstr>
      <vt:lpstr>作成方法</vt:lpstr>
      <vt:lpstr>【別添】添付書類の表紙</vt:lpstr>
      <vt:lpstr>【様式１】総括表・個票</vt:lpstr>
      <vt:lpstr>(別紙１)副園長配置</vt:lpstr>
      <vt:lpstr>(別紙４)通園</vt:lpstr>
      <vt:lpstr>(別紙5)給食・副食</vt:lpstr>
      <vt:lpstr>(別紙6)定員超過</vt:lpstr>
      <vt:lpstr>(別紙7)主幹教諭</vt:lpstr>
      <vt:lpstr>【様式2】職員名簿</vt:lpstr>
      <vt:lpstr>【様式３】シフト表</vt:lpstr>
      <vt:lpstr>【様式４】クラス編成表</vt:lpstr>
      <vt:lpstr>【様式５】職員数算出表</vt:lpstr>
      <vt:lpstr>【様式６】加算確認表</vt:lpstr>
      <vt:lpstr>ver</vt:lpstr>
      <vt:lpstr>'(別紙１)副園長配置'!Print_Area</vt:lpstr>
      <vt:lpstr>'(別紙４)通園'!Print_Area</vt:lpstr>
      <vt:lpstr>'(別紙5)給食・副食'!Print_Area</vt:lpstr>
      <vt:lpstr>'(別紙6)定員超過'!Print_Area</vt:lpstr>
      <vt:lpstr>'(別紙7)主幹教諭'!Print_Area</vt:lpstr>
      <vt:lpstr>【別添】添付書類の表紙!Print_Area</vt:lpstr>
      <vt:lpstr>【様式１】総括表・個票!Print_Area</vt:lpstr>
      <vt:lpstr>【様式2】職員名簿!Print_Area</vt:lpstr>
      <vt:lpstr>【様式３】シフト表!Print_Area</vt:lpstr>
      <vt:lpstr>【様式４】クラス編成表!Print_Area</vt:lpstr>
      <vt:lpstr>【様式５】職員数算出表!Print_Area</vt:lpstr>
      <vt:lpstr>【様式６】加算確認表!Print_Area</vt:lpstr>
      <vt:lpstr>作成方法!Print_Area</vt:lpstr>
      <vt:lpstr>'(別紙１)副園長配置'!Print_Titles</vt:lpstr>
      <vt:lpstr>'(別紙４)通園'!Print_Titles</vt:lpstr>
      <vt:lpstr>'(別紙5)給食・副食'!Print_Titles</vt:lpstr>
      <vt:lpstr>【様式１】総括表・個票!Print_Titles</vt:lpstr>
      <vt:lpstr>【様式2】職員名簿!Print_Titles</vt:lpstr>
      <vt:lpstr>【様式３】シフト表!Print_Titles</vt:lpstr>
      <vt:lpstr>【様式４】クラス編成表!Print_Titles</vt:lpstr>
      <vt:lpstr>【様式５】職員数算出表!Print_Titles</vt:lpstr>
      <vt:lpstr>栄養士</vt:lpstr>
      <vt:lpstr>栄養士等</vt:lpstr>
      <vt:lpstr>学校医</vt:lpstr>
      <vt:lpstr>教諭</vt:lpstr>
      <vt:lpstr>業務委託</vt:lpstr>
      <vt:lpstr>厚別区01私立01保育所</vt:lpstr>
      <vt:lpstr>厚別区01私立02幼稚園</vt:lpstr>
      <vt:lpstr>厚別区01私立03認定こども園</vt:lpstr>
      <vt:lpstr>厚別区02幼稚園</vt:lpstr>
      <vt:lpstr>厚別区03公立02幼稚園</vt:lpstr>
      <vt:lpstr>札幌三育幼稚園</vt:lpstr>
      <vt:lpstr>札幌市あけぼの保育園</vt:lpstr>
      <vt:lpstr>札幌市外01私立01保育所</vt:lpstr>
      <vt:lpstr>札幌市外01私立02幼稚園</vt:lpstr>
      <vt:lpstr>札幌市外01私立03認定こども園</vt:lpstr>
      <vt:lpstr>札幌市外01私立04小規模A・B・C</vt:lpstr>
      <vt:lpstr>札幌市外01私立06事業所内</vt:lpstr>
      <vt:lpstr>札幌市外02公設民営01保育所</vt:lpstr>
      <vt:lpstr>札幌市外03公立01保育所</vt:lpstr>
      <vt:lpstr>札幌市外03公立03認定こども園</vt:lpstr>
      <vt:lpstr>施設長</vt:lpstr>
      <vt:lpstr>事務員</vt:lpstr>
      <vt:lpstr>手稲区01私立01保育所</vt:lpstr>
      <vt:lpstr>手稲区01私立02幼稚園</vt:lpstr>
      <vt:lpstr>手稲区01私立03認定こども園</vt:lpstr>
      <vt:lpstr>手稲区01私立04小規模A・B・C</vt:lpstr>
      <vt:lpstr>手稲区01私立05家庭的</vt:lpstr>
      <vt:lpstr>手稲区02幼稚園</vt:lpstr>
      <vt:lpstr>手稲区03公立01保育所</vt:lpstr>
      <vt:lpstr>手稲区03公立02幼稚園</vt:lpstr>
      <vt:lpstr>常勤</vt:lpstr>
      <vt:lpstr>常勤事務員</vt:lpstr>
      <vt:lpstr>清田区01私立01保育所</vt:lpstr>
      <vt:lpstr>清田区01私立02幼稚園</vt:lpstr>
      <vt:lpstr>清田区01私立03認定こども園</vt:lpstr>
      <vt:lpstr>清田区01私立04小規模A・B・C</vt:lpstr>
      <vt:lpstr>清田区01私立05家庭的</vt:lpstr>
      <vt:lpstr>清田区02幼稚園</vt:lpstr>
      <vt:lpstr>清田区03公立03認定こども園</vt:lpstr>
      <vt:lpstr>西区01私立01保育所</vt:lpstr>
      <vt:lpstr>西区01私立02幼稚園</vt:lpstr>
      <vt:lpstr>西区01私立03認定こども園</vt:lpstr>
      <vt:lpstr>西区01私立04小規模A・B・C</vt:lpstr>
      <vt:lpstr>西区01私立05家庭的</vt:lpstr>
      <vt:lpstr>西区01私立06事業所内</vt:lpstr>
      <vt:lpstr>西区02公設民営01保育所</vt:lpstr>
      <vt:lpstr>西区02幼稚園</vt:lpstr>
      <vt:lpstr>西区03公立01保育所</vt:lpstr>
      <vt:lpstr>西区03公立02幼稚園</vt:lpstr>
      <vt:lpstr>全員</vt:lpstr>
      <vt:lpstr>全職種</vt:lpstr>
      <vt:lpstr>中央区01私立01保育所</vt:lpstr>
      <vt:lpstr>中央区01私立02幼稚園</vt:lpstr>
      <vt:lpstr>中央区01私立03認定こども園</vt:lpstr>
      <vt:lpstr>中央区01私立04小規模A・B・C</vt:lpstr>
      <vt:lpstr>中央区02公設民営01保育所</vt:lpstr>
      <vt:lpstr>中央区02幼稚園</vt:lpstr>
      <vt:lpstr>中央区03公立01保育所</vt:lpstr>
      <vt:lpstr>中央区03公立02幼稚園</vt:lpstr>
      <vt:lpstr>調理員</vt:lpstr>
      <vt:lpstr>東区01私立01保育所</vt:lpstr>
      <vt:lpstr>東区01私立02幼稚園</vt:lpstr>
      <vt:lpstr>東区01私立03認定こども園</vt:lpstr>
      <vt:lpstr>東区01私立04小規模A・B・C</vt:lpstr>
      <vt:lpstr>東区01私立05家庭的</vt:lpstr>
      <vt:lpstr>東区01私立06事業所内</vt:lpstr>
      <vt:lpstr>東区02幼稚園</vt:lpstr>
      <vt:lpstr>東区03公立01保育所</vt:lpstr>
      <vt:lpstr>東区03公立02幼稚園</vt:lpstr>
      <vt:lpstr>南区01私立01保育所</vt:lpstr>
      <vt:lpstr>南区01私立02幼稚園</vt:lpstr>
      <vt:lpstr>南区01私立03認定こども園</vt:lpstr>
      <vt:lpstr>南区01私立04小規模A・B・C</vt:lpstr>
      <vt:lpstr>南区01私立05家庭的</vt:lpstr>
      <vt:lpstr>南区01私立06事業所内</vt:lpstr>
      <vt:lpstr>南区02幼稚園</vt:lpstr>
      <vt:lpstr>南区03公立01保育所</vt:lpstr>
      <vt:lpstr>南区03公立02幼稚園</vt:lpstr>
      <vt:lpstr>南区03公立04小規模A・B・C</vt:lpstr>
      <vt:lpstr>白石区01私立01保育所</vt:lpstr>
      <vt:lpstr>白石区01私立02幼稚園</vt:lpstr>
      <vt:lpstr>白石区01私立03認定こども園</vt:lpstr>
      <vt:lpstr>白石区01私立04小規模A・B・C</vt:lpstr>
      <vt:lpstr>白石区01私立05家庭的</vt:lpstr>
      <vt:lpstr>白石区01私立06事業所内</vt:lpstr>
      <vt:lpstr>白石区02幼稚園</vt:lpstr>
      <vt:lpstr>白石区03公立01保育所</vt:lpstr>
      <vt:lpstr>白石区03公立02幼稚園</vt:lpstr>
      <vt:lpstr>非常勤</vt:lpstr>
      <vt:lpstr>副園長</vt:lpstr>
      <vt:lpstr>豊平区01私立01保育所</vt:lpstr>
      <vt:lpstr>豊平区01私立02幼稚園</vt:lpstr>
      <vt:lpstr>豊平区01私立03認定こども園</vt:lpstr>
      <vt:lpstr>豊平区01私立04小規模A・B・C</vt:lpstr>
      <vt:lpstr>豊平区01私立05家庭的</vt:lpstr>
      <vt:lpstr>豊平区01私立06事業所内</vt:lpstr>
      <vt:lpstr>豊平区02幼稚園</vt:lpstr>
      <vt:lpstr>豊平区03公立01保育所</vt:lpstr>
      <vt:lpstr>豊平区03公立02幼稚園</vt:lpstr>
      <vt:lpstr>北区01私立01保育所</vt:lpstr>
      <vt:lpstr>北区01私立02幼稚園</vt:lpstr>
      <vt:lpstr>北区01私立03認定こども園</vt:lpstr>
      <vt:lpstr>北区01私立04小規模A・B・C</vt:lpstr>
      <vt:lpstr>北区01私立05家庭的</vt:lpstr>
      <vt:lpstr>北区02幼稚園</vt:lpstr>
      <vt:lpstr>北区03公立01保育所</vt:lpstr>
      <vt:lpstr>北区03公立02幼稚園</vt:lpstr>
    </vt:vector>
  </TitlesOfParts>
  <Company>札幌市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札幌市</dc:creator>
  <cp:lastModifiedBy>田原 龍人</cp:lastModifiedBy>
  <cp:lastPrinted>2022-05-24T10:54:54Z</cp:lastPrinted>
  <dcterms:created xsi:type="dcterms:W3CDTF">2015-05-11T14:56:30Z</dcterms:created>
  <dcterms:modified xsi:type="dcterms:W3CDTF">2025-08-01T07:33:49Z</dcterms:modified>
</cp:coreProperties>
</file>